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5955"/>
  </bookViews>
  <sheets>
    <sheet name="Fleet Distribution" sheetId="9" r:id="rId1"/>
    <sheet name="New Fleet" sheetId="11" r:id="rId2"/>
    <sheet name="KLM" sheetId="6" r:id="rId3"/>
    <sheet name="Schiphol" sheetId="3" r:id="rId4"/>
    <sheet name="ATC" sheetId="4" r:id="rId5"/>
    <sheet name="Local Community" sheetId="5" r:id="rId6"/>
    <sheet name="Result" sheetId="7" r:id="rId7"/>
  </sheets>
  <definedNames>
    <definedName name="acd">'Fleet Distribution'!$N$6:$N$8</definedName>
    <definedName name="AF">#REF!</definedName>
    <definedName name="FL">'Fleet Distribution'!$P$6:$P$8</definedName>
    <definedName name="KLM">#REF!</definedName>
    <definedName name="KLM_1">#REF!</definedName>
    <definedName name="KLM_N1">#REF!</definedName>
    <definedName name="KLM_N2">#REF!</definedName>
    <definedName name="KLM_N3">#REF!</definedName>
    <definedName name="n">#REF!</definedName>
    <definedName name="OL">'Fleet Distribution'!$Q$6:$Q$8</definedName>
    <definedName name="own">'Fleet Distribution'!$O$6:$O$8</definedName>
    <definedName name="rate_1">'Fleet Distribution'!$J$26:$J$28</definedName>
    <definedName name="rate1">#REF!</definedName>
    <definedName name="rate2">#REF!</definedName>
    <definedName name="rate3">#REF!</definedName>
    <definedName name="ratio_klm">'Fleet Distribution'!$H$16</definedName>
    <definedName name="ratio_trans">'Fleet Distribution'!$H$19</definedName>
    <definedName name="T_ATC">ATC!$H$9</definedName>
    <definedName name="T_KLM">KLM!$M$14</definedName>
    <definedName name="T_LC">'Local Community'!$L$13</definedName>
    <definedName name="T_o">#REF!</definedName>
    <definedName name="T_Schiphol">Schiphol!$M$14</definedName>
    <definedName name="TOT">#REF!</definedName>
    <definedName name="TOTA">#REF!</definedName>
    <definedName name="TOTAF">#REF!</definedName>
    <definedName name="TOTAL">#REF!</definedName>
    <definedName name="tr_klm">'Fleet Distribution'!$D$16</definedName>
    <definedName name="tr_trans">'Fleet Distribution'!$D$19</definedName>
    <definedName name="trans">#REF!</definedName>
  </definedNames>
  <calcPr calcId="145621"/>
</workbook>
</file>

<file path=xl/calcChain.xml><?xml version="1.0" encoding="utf-8"?>
<calcChain xmlns="http://schemas.openxmlformats.org/spreadsheetml/2006/main">
  <c r="F12" i="11" l="1"/>
  <c r="F26" i="11"/>
  <c r="F42" i="11"/>
  <c r="J6" i="9" l="1"/>
  <c r="O6" i="9" s="1"/>
  <c r="N6" i="9"/>
  <c r="N26" i="9" s="1"/>
  <c r="Q6" i="9"/>
  <c r="Q26" i="9" s="1"/>
  <c r="J7" i="9"/>
  <c r="O7" i="9" s="1"/>
  <c r="J8" i="9"/>
  <c r="O8" i="9"/>
  <c r="O28" i="9" s="1"/>
  <c r="P8" i="9"/>
  <c r="P46" i="9" s="1"/>
  <c r="Q8" i="9"/>
  <c r="Q64" i="9" s="1"/>
  <c r="E9" i="9"/>
  <c r="N7" i="9" s="1"/>
  <c r="F9" i="9"/>
  <c r="E19" i="9" s="1"/>
  <c r="G9" i="9"/>
  <c r="H9" i="9"/>
  <c r="I9" i="9"/>
  <c r="K9" i="9"/>
  <c r="H16" i="9"/>
  <c r="H69" i="9" s="1"/>
  <c r="Q28" i="9"/>
  <c r="D33" i="9"/>
  <c r="N33" i="9"/>
  <c r="N35" i="9"/>
  <c r="D37" i="9"/>
  <c r="N44" i="9"/>
  <c r="Q44" i="9"/>
  <c r="Q46" i="9"/>
  <c r="D51" i="9"/>
  <c r="N51" i="9"/>
  <c r="N53" i="9"/>
  <c r="D55" i="9"/>
  <c r="N63" i="9"/>
  <c r="D69" i="9"/>
  <c r="N69" i="9"/>
  <c r="N71" i="9"/>
  <c r="D73" i="9"/>
  <c r="H51" i="9" l="1"/>
  <c r="H33" i="9"/>
  <c r="E29" i="9" s="1"/>
  <c r="E26" i="9" s="1"/>
  <c r="O46" i="9"/>
  <c r="E47" i="9"/>
  <c r="E44" i="9" s="1"/>
  <c r="J44" i="9" s="1"/>
  <c r="I44" i="9" s="1"/>
  <c r="E65" i="9"/>
  <c r="O27" i="9"/>
  <c r="O63" i="9"/>
  <c r="O45" i="9"/>
  <c r="E63" i="9"/>
  <c r="G19" i="9"/>
  <c r="H19" i="9" s="1"/>
  <c r="E37" i="9"/>
  <c r="E55" i="9" s="1"/>
  <c r="N27" i="9"/>
  <c r="N45" i="9"/>
  <c r="O44" i="9"/>
  <c r="O26" i="9"/>
  <c r="O62" i="9"/>
  <c r="Q7" i="9"/>
  <c r="P64" i="9"/>
  <c r="P28" i="9"/>
  <c r="J9" i="9"/>
  <c r="P7" i="9"/>
  <c r="O64" i="9"/>
  <c r="N62" i="9"/>
  <c r="N8" i="9"/>
  <c r="P6" i="9"/>
  <c r="Q62" i="9"/>
  <c r="G12" i="7"/>
  <c r="G13" i="7"/>
  <c r="G14" i="7"/>
  <c r="E12" i="7"/>
  <c r="E13" i="7"/>
  <c r="E14" i="7"/>
  <c r="G11" i="7"/>
  <c r="E11" i="7"/>
  <c r="C14" i="7"/>
  <c r="C12" i="7"/>
  <c r="C13" i="7"/>
  <c r="C11" i="7"/>
  <c r="AB10" i="4"/>
  <c r="G37" i="9" l="1"/>
  <c r="E45" i="9"/>
  <c r="M52" i="9" s="1"/>
  <c r="M51" i="9"/>
  <c r="E62" i="9"/>
  <c r="J62" i="9" s="1"/>
  <c r="I62" i="9" s="1"/>
  <c r="E27" i="9"/>
  <c r="M34" i="9" s="1"/>
  <c r="P45" i="9"/>
  <c r="P27" i="9"/>
  <c r="P63" i="9"/>
  <c r="Q51" i="9"/>
  <c r="N28" i="9"/>
  <c r="E28" i="9" s="1"/>
  <c r="N64" i="9"/>
  <c r="E64" i="9" s="1"/>
  <c r="N46" i="9"/>
  <c r="E46" i="9" s="1"/>
  <c r="J26" i="9"/>
  <c r="M33" i="9"/>
  <c r="G44" i="9"/>
  <c r="K51" i="9"/>
  <c r="M70" i="9"/>
  <c r="G55" i="9"/>
  <c r="E73" i="9"/>
  <c r="G73" i="9" s="1"/>
  <c r="P26" i="9"/>
  <c r="P44" i="9"/>
  <c r="H44" i="9" s="1"/>
  <c r="P62" i="9"/>
  <c r="Q45" i="9"/>
  <c r="Q63" i="9"/>
  <c r="Q27" i="9"/>
  <c r="H37" i="9"/>
  <c r="H73" i="9"/>
  <c r="H55" i="9"/>
  <c r="J4" i="7"/>
  <c r="H4" i="7"/>
  <c r="F4" i="7"/>
  <c r="D4" i="7"/>
  <c r="F29" i="9" l="1"/>
  <c r="F27" i="9" s="1"/>
  <c r="M69" i="9"/>
  <c r="F65" i="9"/>
  <c r="F63" i="9" s="1"/>
  <c r="N70" i="9" s="1"/>
  <c r="N72" i="9" s="1"/>
  <c r="P51" i="9"/>
  <c r="F47" i="9"/>
  <c r="J46" i="9"/>
  <c r="M53" i="9"/>
  <c r="M54" i="9" s="1"/>
  <c r="K33" i="9"/>
  <c r="G26" i="9"/>
  <c r="H26" i="9"/>
  <c r="I26" i="9"/>
  <c r="M71" i="9"/>
  <c r="J64" i="9"/>
  <c r="Q69" i="9"/>
  <c r="J29" i="9"/>
  <c r="K69" i="9"/>
  <c r="H62" i="9"/>
  <c r="G62" i="9"/>
  <c r="O51" i="9"/>
  <c r="J28" i="9"/>
  <c r="M35" i="9"/>
  <c r="M36" i="9" s="1"/>
  <c r="AG13" i="3"/>
  <c r="W43" i="3" s="1"/>
  <c r="W46" i="3" s="1"/>
  <c r="M72" i="9" l="1"/>
  <c r="J65" i="9"/>
  <c r="J63" i="9"/>
  <c r="I63" i="9" s="1"/>
  <c r="Q70" i="9" s="1"/>
  <c r="Q72" i="9" s="1"/>
  <c r="N34" i="9"/>
  <c r="N36" i="9" s="1"/>
  <c r="J27" i="9"/>
  <c r="F45" i="9"/>
  <c r="J47" i="9"/>
  <c r="Q33" i="9"/>
  <c r="K53" i="9"/>
  <c r="O53" i="9" s="1"/>
  <c r="G46" i="9"/>
  <c r="H46" i="9"/>
  <c r="I46" i="9"/>
  <c r="O69" i="9"/>
  <c r="P33" i="9"/>
  <c r="G28" i="9"/>
  <c r="K35" i="9"/>
  <c r="O35" i="9" s="1"/>
  <c r="H28" i="9"/>
  <c r="I28" i="9"/>
  <c r="P69" i="9"/>
  <c r="G64" i="9"/>
  <c r="K71" i="9"/>
  <c r="O71" i="9" s="1"/>
  <c r="H64" i="9"/>
  <c r="I64" i="9"/>
  <c r="O33" i="9"/>
  <c r="W44" i="3"/>
  <c r="W45" i="3"/>
  <c r="R23" i="4"/>
  <c r="R25" i="4" s="1"/>
  <c r="AI6" i="6"/>
  <c r="AI4" i="6"/>
  <c r="AI12" i="6" s="1"/>
  <c r="K70" i="9" l="1"/>
  <c r="G63" i="9"/>
  <c r="O70" i="9" s="1"/>
  <c r="O72" i="9" s="1"/>
  <c r="I65" i="9"/>
  <c r="H63" i="9"/>
  <c r="P70" i="9" s="1"/>
  <c r="P72" i="9" s="1"/>
  <c r="H27" i="9"/>
  <c r="K34" i="9"/>
  <c r="K36" i="9" s="1"/>
  <c r="G27" i="9"/>
  <c r="I27" i="9"/>
  <c r="N52" i="9"/>
  <c r="N54" i="9" s="1"/>
  <c r="J45" i="9"/>
  <c r="K72" i="9"/>
  <c r="G65" i="9"/>
  <c r="X46" i="6"/>
  <c r="X43" i="6"/>
  <c r="R24" i="4"/>
  <c r="R26" i="4"/>
  <c r="X44" i="6"/>
  <c r="X45" i="6"/>
  <c r="H65" i="9" l="1"/>
  <c r="K52" i="9"/>
  <c r="K54" i="9" s="1"/>
  <c r="G45" i="9"/>
  <c r="H45" i="9"/>
  <c r="I45" i="9"/>
  <c r="Q34" i="9"/>
  <c r="Q36" i="9" s="1"/>
  <c r="I29" i="9"/>
  <c r="O34" i="9"/>
  <c r="O36" i="9" s="1"/>
  <c r="G29" i="9"/>
  <c r="P34" i="9"/>
  <c r="P36" i="9" s="1"/>
  <c r="H29" i="9"/>
  <c r="M14" i="3"/>
  <c r="N12" i="3" s="1"/>
  <c r="Q36" i="3" s="1"/>
  <c r="Q52" i="9" l="1"/>
  <c r="Q54" i="9" s="1"/>
  <c r="I47" i="9"/>
  <c r="P52" i="9"/>
  <c r="P54" i="9" s="1"/>
  <c r="H47" i="9"/>
  <c r="O52" i="9"/>
  <c r="O54" i="9" s="1"/>
  <c r="G47" i="9"/>
  <c r="AD38" i="3"/>
  <c r="AD37" i="3"/>
  <c r="AD39" i="3"/>
  <c r="AD36" i="3"/>
  <c r="N6" i="3"/>
  <c r="Q12" i="3" s="1"/>
  <c r="N7" i="3"/>
  <c r="Q16" i="3" s="1"/>
  <c r="N8" i="3"/>
  <c r="Q20" i="3" s="1"/>
  <c r="N9" i="3"/>
  <c r="Q24" i="3" s="1"/>
  <c r="N10" i="3"/>
  <c r="Q28" i="3" s="1"/>
  <c r="N11" i="3"/>
  <c r="Q32" i="3" s="1"/>
  <c r="N5" i="3"/>
  <c r="Q8" i="3" s="1"/>
  <c r="L13" i="5"/>
  <c r="M9" i="5" s="1"/>
  <c r="P24" i="5" s="1"/>
  <c r="H9" i="4"/>
  <c r="I6" i="4" s="1"/>
  <c r="L12" i="4" s="1"/>
  <c r="M14" i="6"/>
  <c r="N5" i="6" s="1"/>
  <c r="R8" i="6" s="1"/>
  <c r="Y12" i="4" l="1"/>
  <c r="Y13" i="4"/>
  <c r="Y15" i="4"/>
  <c r="Y14" i="4"/>
  <c r="AC24" i="5"/>
  <c r="AC27" i="5"/>
  <c r="AC26" i="5"/>
  <c r="AC25" i="5"/>
  <c r="I5" i="4"/>
  <c r="L8" i="4" s="1"/>
  <c r="I7" i="4"/>
  <c r="L16" i="4" s="1"/>
  <c r="AD10" i="3"/>
  <c r="AD9" i="3"/>
  <c r="AD8" i="3"/>
  <c r="AD11" i="3"/>
  <c r="AD22" i="3"/>
  <c r="AD21" i="3"/>
  <c r="AD20" i="3"/>
  <c r="AD23" i="3"/>
  <c r="AD34" i="3"/>
  <c r="AD33" i="3"/>
  <c r="AD32" i="3"/>
  <c r="AD35" i="3"/>
  <c r="AD18" i="3"/>
  <c r="AD17" i="3"/>
  <c r="AD16" i="3"/>
  <c r="AD19" i="3"/>
  <c r="AD30" i="3"/>
  <c r="AD29" i="3"/>
  <c r="AD28" i="3"/>
  <c r="AD31" i="3"/>
  <c r="AD14" i="3"/>
  <c r="AD13" i="3"/>
  <c r="AD12" i="3"/>
  <c r="AD15" i="3"/>
  <c r="AD26" i="3"/>
  <c r="AD25" i="3"/>
  <c r="AD24" i="3"/>
  <c r="AD27" i="3"/>
  <c r="AE10" i="6"/>
  <c r="AE9" i="6"/>
  <c r="AE8" i="6"/>
  <c r="AE11" i="6"/>
  <c r="N14" i="3"/>
  <c r="N11" i="6"/>
  <c r="R32" i="6" s="1"/>
  <c r="N7" i="6"/>
  <c r="R16" i="6" s="1"/>
  <c r="N10" i="6"/>
  <c r="R28" i="6" s="1"/>
  <c r="N6" i="6"/>
  <c r="R12" i="6" s="1"/>
  <c r="N9" i="6"/>
  <c r="R24" i="6" s="1"/>
  <c r="N12" i="6"/>
  <c r="R36" i="6" s="1"/>
  <c r="N8" i="6"/>
  <c r="R20" i="6" s="1"/>
  <c r="M8" i="5"/>
  <c r="P20" i="5" s="1"/>
  <c r="M7" i="5"/>
  <c r="P16" i="5" s="1"/>
  <c r="M10" i="5"/>
  <c r="P28" i="5" s="1"/>
  <c r="M6" i="5"/>
  <c r="P12" i="5" s="1"/>
  <c r="M5" i="5"/>
  <c r="P8" i="5" s="1"/>
  <c r="M11" i="5"/>
  <c r="P32" i="5" s="1"/>
  <c r="I9" i="4" l="1"/>
  <c r="AC32" i="5"/>
  <c r="AC35" i="5"/>
  <c r="AC34" i="5"/>
  <c r="AC33" i="5"/>
  <c r="AC8" i="5"/>
  <c r="AC11" i="5"/>
  <c r="AC10" i="5"/>
  <c r="AC9" i="5"/>
  <c r="AC15" i="5"/>
  <c r="AC14" i="5"/>
  <c r="AC13" i="5"/>
  <c r="AC12" i="5"/>
  <c r="AC31" i="5"/>
  <c r="AC30" i="5"/>
  <c r="AC29" i="5"/>
  <c r="AC28" i="5"/>
  <c r="Y19" i="4"/>
  <c r="Y18" i="4"/>
  <c r="Y16" i="4"/>
  <c r="Y17" i="4"/>
  <c r="AC23" i="5"/>
  <c r="AC22" i="5"/>
  <c r="AC21" i="5"/>
  <c r="AC20" i="5"/>
  <c r="AC16" i="5"/>
  <c r="AC19" i="5"/>
  <c r="AC18" i="5"/>
  <c r="AC17" i="5"/>
  <c r="Y11" i="4"/>
  <c r="Y10" i="4"/>
  <c r="Y9" i="4"/>
  <c r="M24" i="4" s="1"/>
  <c r="Y8" i="4"/>
  <c r="R45" i="3"/>
  <c r="E6" i="7" s="1"/>
  <c r="F13" i="7" s="1"/>
  <c r="R46" i="3"/>
  <c r="E7" i="7" s="1"/>
  <c r="F14" i="7" s="1"/>
  <c r="R43" i="3"/>
  <c r="R44" i="3"/>
  <c r="E5" i="7" s="1"/>
  <c r="F12" i="7" s="1"/>
  <c r="N14" i="6"/>
  <c r="AE14" i="6"/>
  <c r="AE13" i="6"/>
  <c r="AE12" i="6"/>
  <c r="AE15" i="6"/>
  <c r="AE22" i="6"/>
  <c r="AE21" i="6"/>
  <c r="AE20" i="6"/>
  <c r="AE23" i="6"/>
  <c r="AE30" i="6"/>
  <c r="AE29" i="6"/>
  <c r="AE28" i="6"/>
  <c r="AE31" i="6"/>
  <c r="AE38" i="6"/>
  <c r="AE37" i="6"/>
  <c r="AE36" i="6"/>
  <c r="AE39" i="6"/>
  <c r="AE18" i="6"/>
  <c r="AE17" i="6"/>
  <c r="AE16" i="6"/>
  <c r="AE19" i="6"/>
  <c r="AE26" i="6"/>
  <c r="AE25" i="6"/>
  <c r="AE24" i="6"/>
  <c r="AE27" i="6"/>
  <c r="AE34" i="6"/>
  <c r="AE33" i="6"/>
  <c r="AE32" i="6"/>
  <c r="AE35" i="6"/>
  <c r="S45" i="6"/>
  <c r="C6" i="7" s="1"/>
  <c r="D13" i="7" s="1"/>
  <c r="M13" i="5"/>
  <c r="AA43" i="3" l="1"/>
  <c r="E4" i="7"/>
  <c r="F11" i="7" s="1"/>
  <c r="V24" i="4"/>
  <c r="G5" i="7"/>
  <c r="H12" i="7" s="1"/>
  <c r="Q40" i="5"/>
  <c r="I5" i="7" s="1"/>
  <c r="Q41" i="5"/>
  <c r="I6" i="7" s="1"/>
  <c r="M23" i="4"/>
  <c r="G4" i="7" s="1"/>
  <c r="H11" i="7" s="1"/>
  <c r="Q42" i="5"/>
  <c r="I7" i="7" s="1"/>
  <c r="Q39" i="5"/>
  <c r="I4" i="7" s="1"/>
  <c r="M25" i="4"/>
  <c r="G6" i="7" s="1"/>
  <c r="H13" i="7" s="1"/>
  <c r="M26" i="4"/>
  <c r="G7" i="7" s="1"/>
  <c r="H14" i="7" s="1"/>
  <c r="AA45" i="3"/>
  <c r="S45" i="3"/>
  <c r="F6" i="7" s="1"/>
  <c r="AA44" i="3"/>
  <c r="AD44" i="3" s="1"/>
  <c r="S44" i="3"/>
  <c r="F5" i="7" s="1"/>
  <c r="AA46" i="3"/>
  <c r="S46" i="3"/>
  <c r="F7" i="7" s="1"/>
  <c r="S43" i="6"/>
  <c r="S46" i="6"/>
  <c r="S44" i="6"/>
  <c r="AB45" i="6"/>
  <c r="AB44" i="6" l="1"/>
  <c r="AE45" i="6" s="1"/>
  <c r="C5" i="7"/>
  <c r="D12" i="7" s="1"/>
  <c r="AB46" i="6"/>
  <c r="C7" i="7"/>
  <c r="D14" i="7" s="1"/>
  <c r="AB43" i="6"/>
  <c r="C4" i="7"/>
  <c r="D11" i="7" s="1"/>
  <c r="R42" i="5"/>
  <c r="J7" i="7" s="1"/>
  <c r="V26" i="4"/>
  <c r="N26" i="4"/>
  <c r="H7" i="7" s="1"/>
  <c r="V23" i="4"/>
  <c r="Y24" i="4" s="1"/>
  <c r="N24" i="4"/>
  <c r="H5" i="7" s="1"/>
  <c r="V25" i="4"/>
  <c r="Y25" i="4" s="1"/>
  <c r="N25" i="4"/>
  <c r="H6" i="7" s="1"/>
  <c r="R41" i="5"/>
  <c r="J6" i="7" s="1"/>
  <c r="AD46" i="3"/>
  <c r="R40" i="5"/>
  <c r="J5" i="7" s="1"/>
  <c r="AD45" i="3"/>
  <c r="AE44" i="6"/>
  <c r="T45" i="6"/>
  <c r="D6" i="7" s="1"/>
  <c r="AE46" i="6"/>
  <c r="T44" i="6"/>
  <c r="D5" i="7" s="1"/>
  <c r="T46" i="6"/>
  <c r="D7" i="7" s="1"/>
  <c r="Y26" i="4" l="1"/>
</calcChain>
</file>

<file path=xl/sharedStrings.xml><?xml version="1.0" encoding="utf-8"?>
<sst xmlns="http://schemas.openxmlformats.org/spreadsheetml/2006/main" count="642" uniqueCount="165">
  <si>
    <t>Total</t>
  </si>
  <si>
    <t>KLM</t>
  </si>
  <si>
    <t>Revenue</t>
  </si>
  <si>
    <t>Employment</t>
  </si>
  <si>
    <t>Maintenance and Handling</t>
  </si>
  <si>
    <t>Connectivity</t>
  </si>
  <si>
    <t>A</t>
  </si>
  <si>
    <t>B</t>
  </si>
  <si>
    <t>C</t>
  </si>
  <si>
    <t>D</t>
  </si>
  <si>
    <t>E</t>
  </si>
  <si>
    <t>F</t>
  </si>
  <si>
    <t>G</t>
  </si>
  <si>
    <t>H</t>
  </si>
  <si>
    <t>%</t>
  </si>
  <si>
    <t>Attribute</t>
  </si>
  <si>
    <t>Safety</t>
  </si>
  <si>
    <t>C/F</t>
  </si>
  <si>
    <t>Performance Rating</t>
  </si>
  <si>
    <t>2013 (Baseline Data)</t>
  </si>
  <si>
    <t>2028, 10% Growth</t>
  </si>
  <si>
    <t>2028, 30% Growth</t>
  </si>
  <si>
    <t>2028, 50% Growth</t>
  </si>
  <si>
    <t>Total
Performance</t>
  </si>
  <si>
    <t>Noise
Reduction</t>
  </si>
  <si>
    <t>Maintenance
&amp;
Handling</t>
  </si>
  <si>
    <t>Research
and
Development</t>
  </si>
  <si>
    <t>Maximize Connectivity</t>
  </si>
  <si>
    <t>Maximize
Connectivity</t>
  </si>
  <si>
    <t>Environmental
Impacts</t>
  </si>
  <si>
    <t>Passenger
Satisfaction/
Comfort</t>
  </si>
  <si>
    <t>Attribute
Weight</t>
  </si>
  <si>
    <t>Year &amp;
Growth Rate</t>
  </si>
  <si>
    <r>
      <rPr>
        <b/>
        <sz val="28"/>
        <color theme="1"/>
        <rFont val="Calibri"/>
        <family val="2"/>
        <scheme val="minor"/>
      </rPr>
      <t>Value Matrix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Airline Operator (KLM)</t>
    </r>
  </si>
  <si>
    <t>Overall Performance</t>
  </si>
  <si>
    <t>% Change</t>
  </si>
  <si>
    <t>Scenarios</t>
  </si>
  <si>
    <t>Value
Index</t>
  </si>
  <si>
    <t>% Value
Improvement</t>
  </si>
  <si>
    <t>Environmental Impact</t>
  </si>
  <si>
    <t>Research and Development</t>
  </si>
  <si>
    <t>Attribute
Symbol</t>
  </si>
  <si>
    <r>
      <rPr>
        <b/>
        <sz val="18"/>
        <color theme="1"/>
        <rFont val="Calibri"/>
        <family val="2"/>
        <scheme val="minor"/>
      </rPr>
      <t>Performance Attribute Matrix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Airline Operator (KLM)</t>
    </r>
  </si>
  <si>
    <r>
      <rPr>
        <b/>
        <sz val="18"/>
        <color theme="1"/>
        <rFont val="Calibri"/>
        <family val="2"/>
        <scheme val="minor"/>
      </rPr>
      <t>Performance Attribute Matrix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Airport (Schiphol)</t>
    </r>
  </si>
  <si>
    <t>Noise Reduction</t>
  </si>
  <si>
    <t>Impact on Local Community</t>
  </si>
  <si>
    <t>Improve Service</t>
  </si>
  <si>
    <t>Passeneger Satisfaction/ Comfort</t>
  </si>
  <si>
    <t>Passenger Satisfaction/ Comfort</t>
  </si>
  <si>
    <t>Impact on
Local
Community</t>
  </si>
  <si>
    <t>Optimal Air and Ground space Utilization</t>
  </si>
  <si>
    <t>Operational Efficiency</t>
  </si>
  <si>
    <t>Sophicated Technology</t>
  </si>
  <si>
    <t>Optimal
Air and
Ground space
Utilization</t>
  </si>
  <si>
    <t>Operational
Efficiency</t>
  </si>
  <si>
    <t>Sophisticated
Technology</t>
  </si>
  <si>
    <r>
      <rPr>
        <b/>
        <sz val="18"/>
        <color theme="1"/>
        <rFont val="Calibri"/>
        <family val="2"/>
        <scheme val="minor"/>
      </rPr>
      <t>Performance Attribute Matrix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ATC</t>
    </r>
  </si>
  <si>
    <r>
      <rPr>
        <b/>
        <sz val="28"/>
        <color theme="1"/>
        <rFont val="Calibri"/>
        <family val="2"/>
        <scheme val="minor"/>
      </rPr>
      <t>Value Matrix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ATC</t>
    </r>
  </si>
  <si>
    <r>
      <rPr>
        <b/>
        <sz val="18"/>
        <color theme="1"/>
        <rFont val="Calibri"/>
        <family val="2"/>
        <scheme val="minor"/>
      </rPr>
      <t>Performance Attribute Matrix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Local Community</t>
    </r>
  </si>
  <si>
    <t>Real Estate</t>
  </si>
  <si>
    <t>Health &amp; Safety</t>
  </si>
  <si>
    <t>Real
Estate</t>
  </si>
  <si>
    <t>Health &amp;
Safety</t>
  </si>
  <si>
    <t>B/D</t>
  </si>
  <si>
    <t>Maintenance of Airport</t>
  </si>
  <si>
    <t>Maintenance
of
Airport</t>
  </si>
  <si>
    <t>B/F</t>
  </si>
  <si>
    <t>D/F</t>
  </si>
  <si>
    <t>Construction/Expansion</t>
  </si>
  <si>
    <t>Construction/
Expansion</t>
  </si>
  <si>
    <t>A/B</t>
  </si>
  <si>
    <t>A/F</t>
  </si>
  <si>
    <t>Local Road Traffic Reduction</t>
  </si>
  <si>
    <t>Local Road
Traffic
Reduction</t>
  </si>
  <si>
    <t>N/A</t>
  </si>
  <si>
    <t>Environment</t>
  </si>
  <si>
    <t>A/H</t>
  </si>
  <si>
    <t>E/H</t>
  </si>
  <si>
    <r>
      <rPr>
        <b/>
        <sz val="28"/>
        <color theme="1"/>
        <rFont val="Calibri"/>
        <family val="2"/>
        <scheme val="minor"/>
      </rPr>
      <t>Value Matrix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Local Community</t>
    </r>
  </si>
  <si>
    <t>Rating</t>
  </si>
  <si>
    <r>
      <rPr>
        <b/>
        <sz val="28"/>
        <color theme="1"/>
        <rFont val="Calibri"/>
        <family val="2"/>
        <scheme val="minor"/>
      </rPr>
      <t>Value Matrix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Airport (Schiphol)</t>
    </r>
  </si>
  <si>
    <t>In M Euro</t>
  </si>
  <si>
    <t>Total Cost
Billion Euro</t>
  </si>
  <si>
    <t>Million Euro</t>
  </si>
  <si>
    <t>Financial Expenses</t>
  </si>
  <si>
    <t>Operating Expenses</t>
  </si>
  <si>
    <t>Total Cost
(Million Euro)</t>
  </si>
  <si>
    <t>Schiphol</t>
  </si>
  <si>
    <t>A/E</t>
  </si>
  <si>
    <t>Depriciation &amp; Amortization</t>
  </si>
  <si>
    <t>Impairment</t>
  </si>
  <si>
    <t>Financial Incom &amp; Expenses</t>
  </si>
  <si>
    <t>Corporate IT</t>
  </si>
  <si>
    <t>Investment</t>
  </si>
  <si>
    <t>Employee Benefits</t>
  </si>
  <si>
    <t>Other Operating Expenses</t>
  </si>
  <si>
    <t>Attributes</t>
  </si>
  <si>
    <t>Stake Holder</t>
  </si>
  <si>
    <t>ATC</t>
  </si>
  <si>
    <t>Local Community</t>
  </si>
  <si>
    <t>10% Growth</t>
  </si>
  <si>
    <t>30% Growth</t>
  </si>
  <si>
    <t>50% Growth</t>
  </si>
  <si>
    <t>Total Cost
(Billion Euro)</t>
  </si>
  <si>
    <t>Stake Holder Costs (Billion Euro)</t>
  </si>
  <si>
    <t>Value Index</t>
  </si>
  <si>
    <t>Traffic/
No of Plane</t>
  </si>
  <si>
    <t>Traffic by
Transavia</t>
  </si>
  <si>
    <t>Ratio of
KLM in Transavia</t>
  </si>
  <si>
    <t>Schiphol Traffic
by Transavia</t>
  </si>
  <si>
    <t>Cargo</t>
  </si>
  <si>
    <t>Med</t>
  </si>
  <si>
    <t>Long</t>
  </si>
  <si>
    <t>OL</t>
  </si>
  <si>
    <t>FL</t>
  </si>
  <si>
    <t>Own</t>
  </si>
  <si>
    <t>Transavia</t>
  </si>
  <si>
    <t>To be bought
or leased</t>
  </si>
  <si>
    <t>Type</t>
  </si>
  <si>
    <t>Schiphol Traffic
by KLM</t>
  </si>
  <si>
    <t>Extrapolated Distribution of the Aircraft
to be Bought or leased</t>
  </si>
  <si>
    <t>Medium Haul</t>
  </si>
  <si>
    <t>Long Haul</t>
  </si>
  <si>
    <t>Operating Lease</t>
  </si>
  <si>
    <t>Finance Lease</t>
  </si>
  <si>
    <t>Owned</t>
  </si>
  <si>
    <t xml:space="preserve">Aircraft </t>
  </si>
  <si>
    <t>Aircraft
Distribution</t>
  </si>
  <si>
    <t>Constant Aircraft Distribution</t>
  </si>
  <si>
    <t>Rate
Multiplier</t>
  </si>
  <si>
    <t>2028 Scenario (50 % Growth Rate)</t>
  </si>
  <si>
    <t>2028 Scenario (30 % Growth Rate)</t>
  </si>
  <si>
    <t>2028 Scenario (10 % Growth Rate)</t>
  </si>
  <si>
    <t>Total Transavia</t>
  </si>
  <si>
    <t>Air France</t>
  </si>
  <si>
    <t>In Operation</t>
  </si>
  <si>
    <t>2013 Scenario</t>
  </si>
  <si>
    <t>Total Cost</t>
  </si>
  <si>
    <t>Airbus A330</t>
  </si>
  <si>
    <t>Cargo (2)</t>
  </si>
  <si>
    <t>E190</t>
  </si>
  <si>
    <t>Boeing 737-700</t>
  </si>
  <si>
    <t>Boeing 737 MAX 9</t>
  </si>
  <si>
    <t>Boeing 737 MAX 8</t>
  </si>
  <si>
    <t>Boeing 737 MAX 7</t>
  </si>
  <si>
    <t>Medium Haul (39)</t>
  </si>
  <si>
    <t>Boeing 777-300ER</t>
  </si>
  <si>
    <t>Boeing 787-9</t>
  </si>
  <si>
    <t>Airbus A350-1000</t>
  </si>
  <si>
    <t>Airbus A350-900</t>
  </si>
  <si>
    <t>Airbus A350-800</t>
  </si>
  <si>
    <t>Boeing 787-10</t>
  </si>
  <si>
    <t>Long Haul (33)</t>
  </si>
  <si>
    <t>Acquisition Cost</t>
  </si>
  <si>
    <t>Type of Aircraft</t>
  </si>
  <si>
    <t>Quantity</t>
  </si>
  <si>
    <t>Cargo  (1)</t>
  </si>
  <si>
    <t>Boeing 737-900</t>
  </si>
  <si>
    <t>Medium Haul (23)</t>
  </si>
  <si>
    <t>Long Haul (20)</t>
  </si>
  <si>
    <t>Medium Haul (8)</t>
  </si>
  <si>
    <t>Airbus A330-300</t>
  </si>
  <si>
    <t>Long Haul (7)</t>
  </si>
  <si>
    <t xml:space="preserve">Acquisition Cost </t>
  </si>
  <si>
    <t>**All costs in million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</si>
</sst>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0" fillId="3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/>
    </xf>
    <xf numFmtId="0" fontId="0" fillId="0" borderId="0" xfId="0" applyAlignment="1"/>
    <xf numFmtId="2" fontId="0" fillId="0" borderId="46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47" xfId="0" applyBorder="1"/>
    <xf numFmtId="2" fontId="0" fillId="0" borderId="17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47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/>
    <xf numFmtId="0" fontId="0" fillId="0" borderId="46" xfId="0" applyBorder="1"/>
    <xf numFmtId="0" fontId="0" fillId="0" borderId="6" xfId="0" applyBorder="1"/>
    <xf numFmtId="0" fontId="0" fillId="0" borderId="47" xfId="0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8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47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46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2" xfId="0" applyFont="1" applyBorder="1" applyAlignment="1">
      <alignment vertical="center" wrapText="1"/>
    </xf>
    <xf numFmtId="0" fontId="7" fillId="0" borderId="51" xfId="0" applyFont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7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46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0" fillId="0" borderId="0" xfId="0" applyBorder="1" applyAlignment="1"/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49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4"/>
  <sheetViews>
    <sheetView tabSelected="1" zoomScale="70" zoomScaleNormal="70" workbookViewId="0"/>
  </sheetViews>
  <sheetFormatPr defaultRowHeight="15.75" x14ac:dyDescent="0.25"/>
  <cols>
    <col min="1" max="1" width="9.140625" style="157" customWidth="1"/>
    <col min="2" max="2" width="3" style="157" customWidth="1"/>
    <col min="3" max="3" width="11.5703125" style="157" bestFit="1" customWidth="1"/>
    <col min="4" max="4" width="18.85546875" style="157" bestFit="1" customWidth="1"/>
    <col min="5" max="5" width="9.85546875" style="157" customWidth="1"/>
    <col min="6" max="6" width="12.5703125" style="157" customWidth="1"/>
    <col min="7" max="7" width="12.140625" style="157" bestFit="1" customWidth="1"/>
    <col min="8" max="8" width="17.5703125" style="157" bestFit="1" customWidth="1"/>
    <col min="9" max="9" width="19.5703125" style="157" bestFit="1" customWidth="1"/>
    <col min="10" max="10" width="11.5703125" style="157" bestFit="1" customWidth="1"/>
    <col min="11" max="11" width="15.7109375" style="157" bestFit="1" customWidth="1"/>
    <col min="12" max="12" width="3.140625" style="157" customWidth="1"/>
    <col min="13" max="13" width="9.140625" style="157"/>
    <col min="14" max="14" width="14.140625" style="157" bestFit="1" customWidth="1"/>
    <col min="15" max="17" width="9.140625" style="157"/>
    <col min="18" max="18" width="3" style="157" customWidth="1"/>
    <col min="19" max="16384" width="9.140625" style="157"/>
  </cols>
  <sheetData>
    <row r="1" spans="2:18" ht="16.5" thickBot="1" x14ac:dyDescent="0.3"/>
    <row r="2" spans="2:18" ht="16.5" thickBot="1" x14ac:dyDescent="0.3">
      <c r="B2" s="206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4"/>
    </row>
    <row r="3" spans="2:18" ht="15.75" customHeight="1" thickBot="1" x14ac:dyDescent="0.3">
      <c r="B3" s="164"/>
      <c r="C3" s="239" t="s">
        <v>136</v>
      </c>
      <c r="D3" s="240"/>
      <c r="E3" s="240"/>
      <c r="F3" s="240"/>
      <c r="G3" s="240"/>
      <c r="H3" s="240"/>
      <c r="I3" s="240"/>
      <c r="J3" s="240"/>
      <c r="K3" s="264"/>
      <c r="L3" s="162"/>
      <c r="M3" s="257" t="s">
        <v>128</v>
      </c>
      <c r="N3" s="258"/>
      <c r="O3" s="258"/>
      <c r="P3" s="258"/>
      <c r="Q3" s="259"/>
      <c r="R3" s="161"/>
    </row>
    <row r="4" spans="2:18" ht="16.5" customHeight="1" thickBot="1" x14ac:dyDescent="0.3">
      <c r="B4" s="164"/>
      <c r="C4" s="241"/>
      <c r="D4" s="242"/>
      <c r="E4" s="242"/>
      <c r="F4" s="242"/>
      <c r="G4" s="242"/>
      <c r="H4" s="242"/>
      <c r="I4" s="242"/>
      <c r="J4" s="242"/>
      <c r="K4" s="265"/>
      <c r="L4" s="162"/>
      <c r="M4" s="218" t="s">
        <v>118</v>
      </c>
      <c r="N4" s="219" t="s">
        <v>127</v>
      </c>
      <c r="O4" s="218" t="s">
        <v>125</v>
      </c>
      <c r="P4" s="218" t="s">
        <v>114</v>
      </c>
      <c r="Q4" s="218" t="s">
        <v>113</v>
      </c>
      <c r="R4" s="161"/>
    </row>
    <row r="5" spans="2:18" ht="16.5" thickBot="1" x14ac:dyDescent="0.3">
      <c r="B5" s="164"/>
      <c r="C5" s="247" t="s">
        <v>1</v>
      </c>
      <c r="D5" s="163" t="s">
        <v>126</v>
      </c>
      <c r="E5" s="163" t="s">
        <v>1</v>
      </c>
      <c r="F5" s="163" t="s">
        <v>116</v>
      </c>
      <c r="G5" s="163" t="s">
        <v>125</v>
      </c>
      <c r="H5" s="163" t="s">
        <v>124</v>
      </c>
      <c r="I5" s="163" t="s">
        <v>123</v>
      </c>
      <c r="J5" s="163" t="s">
        <v>0</v>
      </c>
      <c r="K5" s="163" t="s">
        <v>135</v>
      </c>
      <c r="L5" s="162"/>
      <c r="M5" s="216"/>
      <c r="N5" s="217"/>
      <c r="O5" s="216"/>
      <c r="P5" s="216"/>
      <c r="Q5" s="216"/>
      <c r="R5" s="161"/>
    </row>
    <row r="6" spans="2:18" x14ac:dyDescent="0.25">
      <c r="B6" s="164"/>
      <c r="C6" s="248"/>
      <c r="D6" s="190" t="s">
        <v>122</v>
      </c>
      <c r="E6" s="190">
        <v>66</v>
      </c>
      <c r="F6" s="190">
        <v>0</v>
      </c>
      <c r="G6" s="190">
        <v>19</v>
      </c>
      <c r="H6" s="190">
        <v>23</v>
      </c>
      <c r="I6" s="190">
        <v>24</v>
      </c>
      <c r="J6" s="190">
        <f>SUM(G6:I6)</f>
        <v>66</v>
      </c>
      <c r="K6" s="190">
        <v>66</v>
      </c>
      <c r="L6" s="162"/>
      <c r="M6" s="190" t="s">
        <v>112</v>
      </c>
      <c r="N6" s="202">
        <f>E6/E9</f>
        <v>0.5641025641025641</v>
      </c>
      <c r="O6" s="190">
        <f>G6/J6</f>
        <v>0.2878787878787879</v>
      </c>
      <c r="P6" s="190">
        <f>H6/J6</f>
        <v>0.34848484848484851</v>
      </c>
      <c r="Q6" s="190">
        <f>I6/J6</f>
        <v>0.36363636363636365</v>
      </c>
      <c r="R6" s="161"/>
    </row>
    <row r="7" spans="2:18" x14ac:dyDescent="0.25">
      <c r="B7" s="164"/>
      <c r="C7" s="248"/>
      <c r="D7" s="184" t="s">
        <v>121</v>
      </c>
      <c r="E7" s="184">
        <v>47</v>
      </c>
      <c r="F7" s="184">
        <v>30</v>
      </c>
      <c r="G7" s="184">
        <v>8</v>
      </c>
      <c r="H7" s="184">
        <v>21</v>
      </c>
      <c r="I7" s="184">
        <v>49</v>
      </c>
      <c r="J7" s="184">
        <f>SUM(G7:I7)</f>
        <v>78</v>
      </c>
      <c r="K7" s="184">
        <v>77</v>
      </c>
      <c r="L7" s="162"/>
      <c r="M7" s="184" t="s">
        <v>111</v>
      </c>
      <c r="N7" s="201">
        <f>E7/E9</f>
        <v>0.40170940170940173</v>
      </c>
      <c r="O7" s="184">
        <f>G7/J7</f>
        <v>0.10256410256410256</v>
      </c>
      <c r="P7" s="184">
        <f>H7/J7</f>
        <v>0.26923076923076922</v>
      </c>
      <c r="Q7" s="184">
        <f>I7/J7</f>
        <v>0.62820512820512819</v>
      </c>
      <c r="R7" s="161"/>
    </row>
    <row r="8" spans="2:18" ht="16.5" thickBot="1" x14ac:dyDescent="0.3">
      <c r="B8" s="164"/>
      <c r="C8" s="248"/>
      <c r="D8" s="175" t="s">
        <v>110</v>
      </c>
      <c r="E8" s="175">
        <v>4</v>
      </c>
      <c r="F8" s="175">
        <v>0</v>
      </c>
      <c r="G8" s="175">
        <v>3</v>
      </c>
      <c r="H8" s="175">
        <v>5</v>
      </c>
      <c r="I8" s="175">
        <v>5</v>
      </c>
      <c r="J8" s="175">
        <f>SUM(G8:I8)</f>
        <v>13</v>
      </c>
      <c r="K8" s="175">
        <v>4</v>
      </c>
      <c r="L8" s="162"/>
      <c r="M8" s="175" t="s">
        <v>110</v>
      </c>
      <c r="N8" s="200">
        <f>E8/E9</f>
        <v>3.4188034188034191E-2</v>
      </c>
      <c r="O8" s="175">
        <f>G8/J8</f>
        <v>0.23076923076923078</v>
      </c>
      <c r="P8" s="175">
        <f>H8/J8</f>
        <v>0.38461538461538464</v>
      </c>
      <c r="Q8" s="175">
        <f>I8/J8</f>
        <v>0.38461538461538464</v>
      </c>
      <c r="R8" s="161"/>
    </row>
    <row r="9" spans="2:18" ht="16.5" thickBot="1" x14ac:dyDescent="0.3">
      <c r="B9" s="164"/>
      <c r="C9" s="249"/>
      <c r="D9" s="199" t="s">
        <v>0</v>
      </c>
      <c r="E9" s="163">
        <f t="shared" ref="E9:K9" si="0">SUM(E6:E8)</f>
        <v>117</v>
      </c>
      <c r="F9" s="163">
        <f t="shared" si="0"/>
        <v>30</v>
      </c>
      <c r="G9" s="163">
        <f t="shared" si="0"/>
        <v>30</v>
      </c>
      <c r="H9" s="163">
        <f t="shared" si="0"/>
        <v>49</v>
      </c>
      <c r="I9" s="163">
        <f t="shared" si="0"/>
        <v>78</v>
      </c>
      <c r="J9" s="163">
        <f t="shared" si="0"/>
        <v>157</v>
      </c>
      <c r="K9" s="163">
        <f t="shared" si="0"/>
        <v>147</v>
      </c>
      <c r="L9" s="162"/>
      <c r="M9" s="162"/>
      <c r="N9" s="162"/>
      <c r="O9" s="162"/>
      <c r="P9" s="162"/>
      <c r="Q9" s="162"/>
      <c r="R9" s="161"/>
    </row>
    <row r="10" spans="2:18" ht="16.5" thickBot="1" x14ac:dyDescent="0.3">
      <c r="B10" s="164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1"/>
    </row>
    <row r="11" spans="2:18" ht="16.5" thickBot="1" x14ac:dyDescent="0.3">
      <c r="B11" s="164"/>
      <c r="C11" s="247" t="s">
        <v>134</v>
      </c>
      <c r="D11" s="163" t="s">
        <v>126</v>
      </c>
      <c r="E11" s="245"/>
      <c r="F11" s="163" t="s">
        <v>116</v>
      </c>
      <c r="G11" s="215"/>
      <c r="H11" s="215"/>
      <c r="I11" s="215"/>
      <c r="J11" s="215"/>
      <c r="K11" s="215"/>
      <c r="L11" s="162"/>
      <c r="M11" s="162"/>
      <c r="N11" s="162"/>
      <c r="O11" s="162"/>
      <c r="P11" s="162"/>
      <c r="Q11" s="162"/>
      <c r="R11" s="161"/>
    </row>
    <row r="12" spans="2:18" ht="16.5" thickBot="1" x14ac:dyDescent="0.3">
      <c r="B12" s="164"/>
      <c r="C12" s="248"/>
      <c r="D12" s="163" t="s">
        <v>121</v>
      </c>
      <c r="E12" s="263"/>
      <c r="F12" s="163">
        <v>11</v>
      </c>
      <c r="G12" s="215"/>
      <c r="H12" s="215"/>
      <c r="I12" s="215"/>
      <c r="J12" s="215"/>
      <c r="K12" s="215"/>
      <c r="L12" s="162"/>
      <c r="M12" s="162"/>
      <c r="N12" s="162"/>
      <c r="O12" s="162"/>
      <c r="P12" s="162"/>
      <c r="Q12" s="162"/>
      <c r="R12" s="161"/>
    </row>
    <row r="13" spans="2:18" ht="16.5" thickBot="1" x14ac:dyDescent="0.3">
      <c r="B13" s="164"/>
      <c r="C13" s="249"/>
      <c r="D13" s="163" t="s">
        <v>133</v>
      </c>
      <c r="E13" s="244"/>
      <c r="F13" s="163">
        <v>11</v>
      </c>
      <c r="G13" s="215"/>
      <c r="H13" s="215"/>
      <c r="I13" s="215"/>
      <c r="J13" s="215"/>
      <c r="K13" s="215"/>
      <c r="L13" s="162"/>
      <c r="M13" s="162"/>
      <c r="N13" s="162"/>
      <c r="O13" s="162"/>
      <c r="P13" s="162"/>
      <c r="Q13" s="162"/>
      <c r="R13" s="161"/>
    </row>
    <row r="14" spans="2:18" ht="16.5" thickBot="1" x14ac:dyDescent="0.3">
      <c r="B14" s="164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1"/>
    </row>
    <row r="15" spans="2:18" ht="32.25" thickBot="1" x14ac:dyDescent="0.3">
      <c r="B15" s="164"/>
      <c r="C15" s="162"/>
      <c r="D15" s="170" t="s">
        <v>119</v>
      </c>
      <c r="E15" s="256"/>
      <c r="F15" s="251"/>
      <c r="G15" s="252"/>
      <c r="H15" s="170" t="s">
        <v>106</v>
      </c>
      <c r="I15" s="162"/>
      <c r="J15" s="162"/>
      <c r="K15" s="162"/>
      <c r="L15" s="162"/>
      <c r="M15" s="162"/>
      <c r="N15" s="162"/>
      <c r="O15" s="162"/>
      <c r="P15" s="162"/>
      <c r="Q15" s="162"/>
      <c r="R15" s="161"/>
    </row>
    <row r="16" spans="2:18" ht="16.5" thickBot="1" x14ac:dyDescent="0.3">
      <c r="B16" s="164"/>
      <c r="C16" s="162"/>
      <c r="D16" s="163">
        <v>215670</v>
      </c>
      <c r="E16" s="253"/>
      <c r="F16" s="254"/>
      <c r="G16" s="255"/>
      <c r="H16" s="192">
        <f>D16/E9</f>
        <v>1843.3333333333333</v>
      </c>
      <c r="I16" s="162"/>
      <c r="J16" s="162"/>
      <c r="K16" s="162"/>
      <c r="L16" s="162"/>
      <c r="M16" s="162"/>
      <c r="N16" s="162"/>
      <c r="O16" s="162"/>
      <c r="P16" s="162"/>
      <c r="Q16" s="162"/>
      <c r="R16" s="161"/>
    </row>
    <row r="17" spans="2:18" ht="16.5" thickBot="1" x14ac:dyDescent="0.3">
      <c r="B17" s="164"/>
      <c r="C17" s="162"/>
      <c r="D17" s="257"/>
      <c r="E17" s="258"/>
      <c r="F17" s="258"/>
      <c r="G17" s="258"/>
      <c r="H17" s="259"/>
      <c r="I17" s="162"/>
      <c r="J17" s="162"/>
      <c r="K17" s="162"/>
      <c r="L17" s="162"/>
      <c r="M17" s="162"/>
      <c r="N17" s="162"/>
      <c r="O17" s="162"/>
      <c r="P17" s="162"/>
      <c r="Q17" s="162"/>
      <c r="R17" s="161"/>
    </row>
    <row r="18" spans="2:18" ht="32.25" thickBot="1" x14ac:dyDescent="0.3">
      <c r="B18" s="164"/>
      <c r="C18" s="162"/>
      <c r="D18" s="170" t="s">
        <v>109</v>
      </c>
      <c r="E18" s="260" t="s">
        <v>108</v>
      </c>
      <c r="F18" s="261"/>
      <c r="G18" s="170" t="s">
        <v>107</v>
      </c>
      <c r="H18" s="170" t="s">
        <v>106</v>
      </c>
      <c r="I18" s="162"/>
      <c r="J18" s="162"/>
      <c r="K18" s="162"/>
      <c r="L18" s="162"/>
      <c r="M18" s="162"/>
      <c r="N18" s="162"/>
      <c r="O18" s="162"/>
      <c r="P18" s="162"/>
      <c r="Q18" s="162"/>
      <c r="R18" s="161"/>
    </row>
    <row r="19" spans="2:18" ht="16.5" thickBot="1" x14ac:dyDescent="0.3">
      <c r="B19" s="164"/>
      <c r="C19" s="162"/>
      <c r="D19" s="163">
        <v>27462</v>
      </c>
      <c r="E19" s="237">
        <f>F9/(F9+F13)</f>
        <v>0.73170731707317072</v>
      </c>
      <c r="F19" s="238"/>
      <c r="G19" s="163">
        <f>ROUNDDOWN(E19*D19,0)</f>
        <v>20094</v>
      </c>
      <c r="H19" s="163">
        <f>G19/F9</f>
        <v>669.8</v>
      </c>
      <c r="I19" s="162"/>
      <c r="J19" s="162"/>
      <c r="K19" s="162"/>
      <c r="L19" s="162"/>
      <c r="M19" s="162"/>
      <c r="N19" s="162"/>
      <c r="O19" s="162"/>
      <c r="P19" s="162"/>
      <c r="Q19" s="162"/>
      <c r="R19" s="161"/>
    </row>
    <row r="20" spans="2:18" ht="16.5" thickBot="1" x14ac:dyDescent="0.3">
      <c r="B20" s="160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8"/>
    </row>
    <row r="21" spans="2:18" ht="16.5" thickBot="1" x14ac:dyDescent="0.3"/>
    <row r="22" spans="2:18" ht="16.5" thickBot="1" x14ac:dyDescent="0.3">
      <c r="B22" s="206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4"/>
    </row>
    <row r="23" spans="2:18" ht="15.75" customHeight="1" thickBot="1" x14ac:dyDescent="0.3">
      <c r="B23" s="164"/>
      <c r="C23" s="239" t="s">
        <v>132</v>
      </c>
      <c r="D23" s="240"/>
      <c r="E23" s="240"/>
      <c r="F23" s="240"/>
      <c r="G23" s="240"/>
      <c r="H23" s="240"/>
      <c r="I23" s="243" t="s">
        <v>129</v>
      </c>
      <c r="J23" s="245">
        <v>1.1000000000000001</v>
      </c>
      <c r="K23" s="246"/>
      <c r="L23" s="162"/>
      <c r="M23" s="257" t="s">
        <v>128</v>
      </c>
      <c r="N23" s="258"/>
      <c r="O23" s="258"/>
      <c r="P23" s="258"/>
      <c r="Q23" s="259"/>
      <c r="R23" s="161"/>
    </row>
    <row r="24" spans="2:18" ht="16.5" customHeight="1" thickBot="1" x14ac:dyDescent="0.3">
      <c r="B24" s="164"/>
      <c r="C24" s="241"/>
      <c r="D24" s="242"/>
      <c r="E24" s="242"/>
      <c r="F24" s="242"/>
      <c r="G24" s="242"/>
      <c r="H24" s="242"/>
      <c r="I24" s="244"/>
      <c r="J24" s="244"/>
      <c r="K24" s="246"/>
      <c r="L24" s="162"/>
      <c r="M24" s="245" t="s">
        <v>118</v>
      </c>
      <c r="N24" s="243" t="s">
        <v>127</v>
      </c>
      <c r="O24" s="245" t="s">
        <v>125</v>
      </c>
      <c r="P24" s="245" t="s">
        <v>114</v>
      </c>
      <c r="Q24" s="245" t="s">
        <v>113</v>
      </c>
      <c r="R24" s="161"/>
    </row>
    <row r="25" spans="2:18" ht="16.5" thickBot="1" x14ac:dyDescent="0.3">
      <c r="B25" s="164"/>
      <c r="C25" s="247" t="s">
        <v>1</v>
      </c>
      <c r="D25" s="163" t="s">
        <v>126</v>
      </c>
      <c r="E25" s="163" t="s">
        <v>1</v>
      </c>
      <c r="F25" s="163" t="s">
        <v>116</v>
      </c>
      <c r="G25" s="203" t="s">
        <v>125</v>
      </c>
      <c r="H25" s="203" t="s">
        <v>124</v>
      </c>
      <c r="I25" s="203" t="s">
        <v>123</v>
      </c>
      <c r="J25" s="203" t="s">
        <v>0</v>
      </c>
      <c r="K25" s="162"/>
      <c r="L25" s="162"/>
      <c r="M25" s="244"/>
      <c r="N25" s="262"/>
      <c r="O25" s="263"/>
      <c r="P25" s="263"/>
      <c r="Q25" s="263"/>
      <c r="R25" s="161"/>
    </row>
    <row r="26" spans="2:18" x14ac:dyDescent="0.25">
      <c r="B26" s="164"/>
      <c r="C26" s="248"/>
      <c r="D26" s="190" t="s">
        <v>122</v>
      </c>
      <c r="E26" s="190">
        <f>ROUND(N26*E29,0)</f>
        <v>73</v>
      </c>
      <c r="F26" s="191">
        <v>0</v>
      </c>
      <c r="G26" s="190">
        <f>ROUND(J26*O26,0)</f>
        <v>21</v>
      </c>
      <c r="H26" s="190">
        <f>ROUND(J26*P26,0)</f>
        <v>25</v>
      </c>
      <c r="I26" s="190">
        <f>ROUND(Q26*J26,0)</f>
        <v>27</v>
      </c>
      <c r="J26" s="190">
        <f>SUM(E26:F26)</f>
        <v>73</v>
      </c>
      <c r="K26" s="162"/>
      <c r="L26" s="162"/>
      <c r="M26" s="191" t="s">
        <v>112</v>
      </c>
      <c r="N26" s="202">
        <f t="shared" ref="N26:Q28" si="1">N6</f>
        <v>0.5641025641025641</v>
      </c>
      <c r="O26" s="202">
        <f t="shared" si="1"/>
        <v>0.2878787878787879</v>
      </c>
      <c r="P26" s="202">
        <f t="shared" si="1"/>
        <v>0.34848484848484851</v>
      </c>
      <c r="Q26" s="202">
        <f t="shared" si="1"/>
        <v>0.36363636363636365</v>
      </c>
      <c r="R26" s="161"/>
    </row>
    <row r="27" spans="2:18" x14ac:dyDescent="0.25">
      <c r="B27" s="164"/>
      <c r="C27" s="248"/>
      <c r="D27" s="184" t="s">
        <v>121</v>
      </c>
      <c r="E27" s="184">
        <f>ROUND(N27*E29,0)</f>
        <v>52</v>
      </c>
      <c r="F27" s="185">
        <f>F29-F26-F28</f>
        <v>33</v>
      </c>
      <c r="G27" s="184">
        <f>ROUND(J27*O27,0)</f>
        <v>9</v>
      </c>
      <c r="H27" s="184">
        <f>ROUND(J27*P27,0)</f>
        <v>23</v>
      </c>
      <c r="I27" s="184">
        <f>ROUND(Q27*J27,0)</f>
        <v>53</v>
      </c>
      <c r="J27" s="184">
        <f>SUM(E27:F27)</f>
        <v>85</v>
      </c>
      <c r="K27" s="162"/>
      <c r="L27" s="162"/>
      <c r="M27" s="185" t="s">
        <v>111</v>
      </c>
      <c r="N27" s="201">
        <f t="shared" si="1"/>
        <v>0.40170940170940173</v>
      </c>
      <c r="O27" s="201">
        <f t="shared" si="1"/>
        <v>0.10256410256410256</v>
      </c>
      <c r="P27" s="201">
        <f t="shared" si="1"/>
        <v>0.26923076923076922</v>
      </c>
      <c r="Q27" s="201">
        <f t="shared" si="1"/>
        <v>0.62820512820512819</v>
      </c>
      <c r="R27" s="161"/>
    </row>
    <row r="28" spans="2:18" ht="16.5" thickBot="1" x14ac:dyDescent="0.3">
      <c r="B28" s="164"/>
      <c r="C28" s="248"/>
      <c r="D28" s="175" t="s">
        <v>110</v>
      </c>
      <c r="E28" s="175">
        <f>ROUND(N28*E29,0)</f>
        <v>4</v>
      </c>
      <c r="F28" s="176">
        <v>0</v>
      </c>
      <c r="G28" s="175">
        <f>ROUND(J28*O28,0)</f>
        <v>1</v>
      </c>
      <c r="H28" s="175">
        <f>ROUND(J28*P28,0)</f>
        <v>2</v>
      </c>
      <c r="I28" s="175">
        <f>ROUND(Q28*J28,0)</f>
        <v>2</v>
      </c>
      <c r="J28" s="175">
        <f>SUM(E28:F28)</f>
        <v>4</v>
      </c>
      <c r="K28" s="162"/>
      <c r="L28" s="162"/>
      <c r="M28" s="176" t="s">
        <v>110</v>
      </c>
      <c r="N28" s="200">
        <f t="shared" si="1"/>
        <v>3.4188034188034191E-2</v>
      </c>
      <c r="O28" s="200">
        <f t="shared" si="1"/>
        <v>0.23076923076923078</v>
      </c>
      <c r="P28" s="200">
        <f t="shared" si="1"/>
        <v>0.38461538461538464</v>
      </c>
      <c r="Q28" s="200">
        <f t="shared" si="1"/>
        <v>0.38461538461538464</v>
      </c>
      <c r="R28" s="161"/>
    </row>
    <row r="29" spans="2:18" ht="16.5" thickBot="1" x14ac:dyDescent="0.3">
      <c r="B29" s="164"/>
      <c r="C29" s="249"/>
      <c r="D29" s="199" t="s">
        <v>0</v>
      </c>
      <c r="E29" s="163">
        <f>ROUND(D33/H33,0)</f>
        <v>129</v>
      </c>
      <c r="F29" s="163">
        <f>ROUND(G37/H37,0)</f>
        <v>33</v>
      </c>
      <c r="G29" s="169">
        <f>SUM(G26:G28)</f>
        <v>31</v>
      </c>
      <c r="H29" s="169">
        <f>SUM(H26:H28)</f>
        <v>50</v>
      </c>
      <c r="I29" s="169">
        <f>SUM(I26:I28)</f>
        <v>82</v>
      </c>
      <c r="J29" s="163">
        <f>SUM(E29:F29)</f>
        <v>162</v>
      </c>
      <c r="K29" s="162"/>
      <c r="L29" s="162"/>
      <c r="M29" s="162"/>
      <c r="N29" s="162"/>
      <c r="O29" s="162"/>
      <c r="P29" s="162"/>
      <c r="Q29" s="162"/>
      <c r="R29" s="161"/>
    </row>
    <row r="30" spans="2:18" x14ac:dyDescent="0.25">
      <c r="B30" s="164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250" t="s">
        <v>120</v>
      </c>
      <c r="N30" s="251"/>
      <c r="O30" s="251"/>
      <c r="P30" s="251"/>
      <c r="Q30" s="252"/>
      <c r="R30" s="161"/>
    </row>
    <row r="31" spans="2:18" ht="16.5" thickBot="1" x14ac:dyDescent="0.3">
      <c r="B31" s="164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253"/>
      <c r="N31" s="254"/>
      <c r="O31" s="254"/>
      <c r="P31" s="254"/>
      <c r="Q31" s="255"/>
      <c r="R31" s="161"/>
    </row>
    <row r="32" spans="2:18" ht="32.25" thickBot="1" x14ac:dyDescent="0.3">
      <c r="B32" s="164"/>
      <c r="C32" s="162"/>
      <c r="D32" s="170" t="s">
        <v>119</v>
      </c>
      <c r="E32" s="256"/>
      <c r="F32" s="251"/>
      <c r="G32" s="252"/>
      <c r="H32" s="170" t="s">
        <v>106</v>
      </c>
      <c r="I32" s="162"/>
      <c r="J32" s="163" t="s">
        <v>118</v>
      </c>
      <c r="K32" s="170" t="s">
        <v>117</v>
      </c>
      <c r="L32" s="162"/>
      <c r="M32" s="214" t="s">
        <v>1</v>
      </c>
      <c r="N32" s="213" t="s">
        <v>116</v>
      </c>
      <c r="O32" s="195" t="s">
        <v>115</v>
      </c>
      <c r="P32" s="194" t="s">
        <v>114</v>
      </c>
      <c r="Q32" s="193" t="s">
        <v>113</v>
      </c>
      <c r="R32" s="161"/>
    </row>
    <row r="33" spans="2:18" ht="16.5" thickBot="1" x14ac:dyDescent="0.3">
      <c r="B33" s="164"/>
      <c r="C33" s="162"/>
      <c r="D33" s="163">
        <f>ROUND(J23*tr_klm,0)</f>
        <v>237237</v>
      </c>
      <c r="E33" s="253"/>
      <c r="F33" s="254"/>
      <c r="G33" s="255"/>
      <c r="H33" s="192">
        <f>ratio_klm</f>
        <v>1843.3333333333333</v>
      </c>
      <c r="I33" s="162"/>
      <c r="J33" s="190" t="s">
        <v>112</v>
      </c>
      <c r="K33" s="190">
        <f>J26-K6</f>
        <v>7</v>
      </c>
      <c r="L33" s="162"/>
      <c r="M33" s="210">
        <f t="shared" ref="M33:Q34" si="2">E26-E6</f>
        <v>7</v>
      </c>
      <c r="N33" s="212">
        <f t="shared" si="2"/>
        <v>0</v>
      </c>
      <c r="O33" s="189">
        <f t="shared" si="2"/>
        <v>2</v>
      </c>
      <c r="P33" s="187">
        <f t="shared" si="2"/>
        <v>2</v>
      </c>
      <c r="Q33" s="186">
        <f t="shared" si="2"/>
        <v>3</v>
      </c>
      <c r="R33" s="161"/>
    </row>
    <row r="34" spans="2:18" ht="16.5" thickBot="1" x14ac:dyDescent="0.3">
      <c r="B34" s="164"/>
      <c r="C34" s="162"/>
      <c r="D34" s="257"/>
      <c r="E34" s="258"/>
      <c r="F34" s="258"/>
      <c r="G34" s="258"/>
      <c r="H34" s="259"/>
      <c r="I34" s="162"/>
      <c r="J34" s="184" t="s">
        <v>111</v>
      </c>
      <c r="K34" s="184">
        <f>J27-K7</f>
        <v>8</v>
      </c>
      <c r="L34" s="162"/>
      <c r="M34" s="183">
        <f t="shared" si="2"/>
        <v>5</v>
      </c>
      <c r="N34" s="211">
        <f t="shared" si="2"/>
        <v>3</v>
      </c>
      <c r="O34" s="183">
        <f t="shared" si="2"/>
        <v>1</v>
      </c>
      <c r="P34" s="181">
        <f t="shared" si="2"/>
        <v>2</v>
      </c>
      <c r="Q34" s="180">
        <f t="shared" si="2"/>
        <v>4</v>
      </c>
      <c r="R34" s="161"/>
    </row>
    <row r="35" spans="2:18" ht="16.5" thickBot="1" x14ac:dyDescent="0.3">
      <c r="B35" s="164"/>
      <c r="C35" s="162"/>
      <c r="D35" s="179"/>
      <c r="E35" s="178"/>
      <c r="F35" s="178"/>
      <c r="G35" s="178"/>
      <c r="H35" s="177"/>
      <c r="I35" s="162"/>
      <c r="J35" s="175" t="s">
        <v>110</v>
      </c>
      <c r="K35" s="175">
        <f>J28-K8</f>
        <v>0</v>
      </c>
      <c r="L35" s="162"/>
      <c r="M35" s="174">
        <f>E28-E8</f>
        <v>0</v>
      </c>
      <c r="N35" s="209">
        <f>F28-F8</f>
        <v>0</v>
      </c>
      <c r="O35" s="174">
        <f>K35-P35-Q35</f>
        <v>0</v>
      </c>
      <c r="P35" s="172">
        <v>0</v>
      </c>
      <c r="Q35" s="171">
        <v>0</v>
      </c>
      <c r="R35" s="161"/>
    </row>
    <row r="36" spans="2:18" ht="32.25" thickBot="1" x14ac:dyDescent="0.3">
      <c r="B36" s="164"/>
      <c r="C36" s="162"/>
      <c r="D36" s="170" t="s">
        <v>109</v>
      </c>
      <c r="E36" s="260" t="s">
        <v>108</v>
      </c>
      <c r="F36" s="261"/>
      <c r="G36" s="170" t="s">
        <v>107</v>
      </c>
      <c r="H36" s="170" t="s">
        <v>106</v>
      </c>
      <c r="I36" s="162"/>
      <c r="J36" s="163" t="s">
        <v>0</v>
      </c>
      <c r="K36" s="163">
        <f>SUM(K33:K35)</f>
        <v>15</v>
      </c>
      <c r="L36" s="162"/>
      <c r="M36" s="208">
        <f>SUM(M33:M35)</f>
        <v>12</v>
      </c>
      <c r="N36" s="207">
        <f>SUM(N33:N35)</f>
        <v>3</v>
      </c>
      <c r="O36" s="167">
        <f>SUM(O33:O35)</f>
        <v>3</v>
      </c>
      <c r="P36" s="166">
        <f>SUM(P33:P35)</f>
        <v>4</v>
      </c>
      <c r="Q36" s="165">
        <f>SUM(Q33:Q35)</f>
        <v>7</v>
      </c>
      <c r="R36" s="161"/>
    </row>
    <row r="37" spans="2:18" ht="16.5" thickBot="1" x14ac:dyDescent="0.3">
      <c r="B37" s="164"/>
      <c r="C37" s="162"/>
      <c r="D37" s="163">
        <f>ROUND(J23*tr_trans,0)</f>
        <v>30208</v>
      </c>
      <c r="E37" s="237">
        <f>E19</f>
        <v>0.73170731707317072</v>
      </c>
      <c r="F37" s="238"/>
      <c r="G37" s="163">
        <f>D37*E37</f>
        <v>22103.414634146342</v>
      </c>
      <c r="H37" s="163">
        <f>ratio_trans</f>
        <v>669.8</v>
      </c>
      <c r="I37" s="162"/>
      <c r="J37" s="162"/>
      <c r="K37" s="162"/>
      <c r="L37" s="162"/>
      <c r="M37" s="162"/>
      <c r="N37" s="162"/>
      <c r="O37" s="162"/>
      <c r="P37" s="162"/>
      <c r="Q37" s="162"/>
      <c r="R37" s="161"/>
    </row>
    <row r="38" spans="2:18" ht="16.5" thickBot="1" x14ac:dyDescent="0.3">
      <c r="B38" s="160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8"/>
    </row>
    <row r="39" spans="2:18" ht="16.5" thickBot="1" x14ac:dyDescent="0.3"/>
    <row r="40" spans="2:18" ht="16.5" thickBot="1" x14ac:dyDescent="0.3">
      <c r="B40" s="206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4"/>
    </row>
    <row r="41" spans="2:18" ht="16.5" customHeight="1" thickBot="1" x14ac:dyDescent="0.3">
      <c r="B41" s="164"/>
      <c r="C41" s="239" t="s">
        <v>131</v>
      </c>
      <c r="D41" s="240"/>
      <c r="E41" s="240"/>
      <c r="F41" s="240"/>
      <c r="G41" s="240"/>
      <c r="H41" s="240"/>
      <c r="I41" s="243" t="s">
        <v>129</v>
      </c>
      <c r="J41" s="245">
        <v>1.3</v>
      </c>
      <c r="K41" s="246"/>
      <c r="L41" s="162"/>
      <c r="M41" s="257" t="s">
        <v>128</v>
      </c>
      <c r="N41" s="258"/>
      <c r="O41" s="258"/>
      <c r="P41" s="258"/>
      <c r="Q41" s="259"/>
      <c r="R41" s="161"/>
    </row>
    <row r="42" spans="2:18" ht="16.5" thickBot="1" x14ac:dyDescent="0.3">
      <c r="B42" s="164"/>
      <c r="C42" s="241"/>
      <c r="D42" s="242"/>
      <c r="E42" s="242"/>
      <c r="F42" s="242"/>
      <c r="G42" s="242"/>
      <c r="H42" s="242"/>
      <c r="I42" s="244"/>
      <c r="J42" s="244"/>
      <c r="K42" s="246"/>
      <c r="L42" s="162"/>
      <c r="M42" s="245" t="s">
        <v>118</v>
      </c>
      <c r="N42" s="243" t="s">
        <v>127</v>
      </c>
      <c r="O42" s="245" t="s">
        <v>125</v>
      </c>
      <c r="P42" s="245" t="s">
        <v>114</v>
      </c>
      <c r="Q42" s="245" t="s">
        <v>113</v>
      </c>
      <c r="R42" s="161"/>
    </row>
    <row r="43" spans="2:18" ht="16.5" thickBot="1" x14ac:dyDescent="0.3">
      <c r="B43" s="164"/>
      <c r="C43" s="247" t="s">
        <v>1</v>
      </c>
      <c r="D43" s="163" t="s">
        <v>126</v>
      </c>
      <c r="E43" s="163" t="s">
        <v>1</v>
      </c>
      <c r="F43" s="163" t="s">
        <v>116</v>
      </c>
      <c r="G43" s="203" t="s">
        <v>125</v>
      </c>
      <c r="H43" s="203" t="s">
        <v>124</v>
      </c>
      <c r="I43" s="203" t="s">
        <v>123</v>
      </c>
      <c r="J43" s="203" t="s">
        <v>0</v>
      </c>
      <c r="K43" s="162"/>
      <c r="L43" s="162"/>
      <c r="M43" s="244"/>
      <c r="N43" s="262"/>
      <c r="O43" s="263"/>
      <c r="P43" s="263"/>
      <c r="Q43" s="263"/>
      <c r="R43" s="161"/>
    </row>
    <row r="44" spans="2:18" x14ac:dyDescent="0.25">
      <c r="B44" s="164"/>
      <c r="C44" s="248"/>
      <c r="D44" s="190" t="s">
        <v>122</v>
      </c>
      <c r="E44" s="190">
        <f>ROUND(N44*E47,0)</f>
        <v>86</v>
      </c>
      <c r="F44" s="191">
        <v>0</v>
      </c>
      <c r="G44" s="190">
        <f>ROUND(J44*O44,0)</f>
        <v>25</v>
      </c>
      <c r="H44" s="190">
        <f>ROUND(J44*P44,0)</f>
        <v>30</v>
      </c>
      <c r="I44" s="190">
        <f>ROUND(Q44*J44,0)</f>
        <v>31</v>
      </c>
      <c r="J44" s="190">
        <f>SUM(E44:F44)</f>
        <v>86</v>
      </c>
      <c r="K44" s="162"/>
      <c r="L44" s="162"/>
      <c r="M44" s="191" t="s">
        <v>112</v>
      </c>
      <c r="N44" s="202">
        <f t="shared" ref="N44:Q46" si="3">N6</f>
        <v>0.5641025641025641</v>
      </c>
      <c r="O44" s="202">
        <f t="shared" si="3"/>
        <v>0.2878787878787879</v>
      </c>
      <c r="P44" s="202">
        <f t="shared" si="3"/>
        <v>0.34848484848484851</v>
      </c>
      <c r="Q44" s="202">
        <f t="shared" si="3"/>
        <v>0.36363636363636365</v>
      </c>
      <c r="R44" s="161"/>
    </row>
    <row r="45" spans="2:18" x14ac:dyDescent="0.25">
      <c r="B45" s="164"/>
      <c r="C45" s="248"/>
      <c r="D45" s="184" t="s">
        <v>121</v>
      </c>
      <c r="E45" s="184">
        <f>ROUND(N45*E47,0)</f>
        <v>61</v>
      </c>
      <c r="F45" s="185">
        <f>F47-F44-F46</f>
        <v>39</v>
      </c>
      <c r="G45" s="184">
        <f>ROUND(J45*O45,0)</f>
        <v>10</v>
      </c>
      <c r="H45" s="184">
        <f>ROUND(J45*P45,0)</f>
        <v>27</v>
      </c>
      <c r="I45" s="184">
        <f>ROUND(Q45*J45,0)</f>
        <v>63</v>
      </c>
      <c r="J45" s="184">
        <f>SUM(E45:F45)</f>
        <v>100</v>
      </c>
      <c r="K45" s="162"/>
      <c r="L45" s="162"/>
      <c r="M45" s="185" t="s">
        <v>111</v>
      </c>
      <c r="N45" s="201">
        <f t="shared" si="3"/>
        <v>0.40170940170940173</v>
      </c>
      <c r="O45" s="201">
        <f t="shared" si="3"/>
        <v>0.10256410256410256</v>
      </c>
      <c r="P45" s="201">
        <f t="shared" si="3"/>
        <v>0.26923076923076922</v>
      </c>
      <c r="Q45" s="201">
        <f t="shared" si="3"/>
        <v>0.62820512820512819</v>
      </c>
      <c r="R45" s="161"/>
    </row>
    <row r="46" spans="2:18" ht="16.5" thickBot="1" x14ac:dyDescent="0.3">
      <c r="B46" s="164"/>
      <c r="C46" s="248"/>
      <c r="D46" s="175" t="s">
        <v>110</v>
      </c>
      <c r="E46" s="175">
        <f>ROUND(N46*E47,0)</f>
        <v>5</v>
      </c>
      <c r="F46" s="176">
        <v>0</v>
      </c>
      <c r="G46" s="175">
        <f>ROUND(J46*O46,0)</f>
        <v>1</v>
      </c>
      <c r="H46" s="175">
        <f>ROUND(J46*P46,0)</f>
        <v>2</v>
      </c>
      <c r="I46" s="175">
        <f>ROUND(Q46*J46,0)</f>
        <v>2</v>
      </c>
      <c r="J46" s="175">
        <f>SUM(E46:F46)</f>
        <v>5</v>
      </c>
      <c r="K46" s="162"/>
      <c r="L46" s="162"/>
      <c r="M46" s="176" t="s">
        <v>110</v>
      </c>
      <c r="N46" s="200">
        <f t="shared" si="3"/>
        <v>3.4188034188034191E-2</v>
      </c>
      <c r="O46" s="200">
        <f t="shared" si="3"/>
        <v>0.23076923076923078</v>
      </c>
      <c r="P46" s="200">
        <f t="shared" si="3"/>
        <v>0.38461538461538464</v>
      </c>
      <c r="Q46" s="200">
        <f t="shared" si="3"/>
        <v>0.38461538461538464</v>
      </c>
      <c r="R46" s="161"/>
    </row>
    <row r="47" spans="2:18" ht="16.5" thickBot="1" x14ac:dyDescent="0.3">
      <c r="B47" s="164"/>
      <c r="C47" s="249"/>
      <c r="D47" s="199" t="s">
        <v>0</v>
      </c>
      <c r="E47" s="163">
        <f>ROUND(D51/H51,0)</f>
        <v>152</v>
      </c>
      <c r="F47" s="163">
        <f>ROUND(G55/H55,0)</f>
        <v>39</v>
      </c>
      <c r="G47" s="169">
        <f>SUM(G44:G46)</f>
        <v>36</v>
      </c>
      <c r="H47" s="169">
        <f>SUM(H44:H46)</f>
        <v>59</v>
      </c>
      <c r="I47" s="169">
        <f>SUM(I44:I46)</f>
        <v>96</v>
      </c>
      <c r="J47" s="163">
        <f>SUM(E47:F47)</f>
        <v>191</v>
      </c>
      <c r="K47" s="162"/>
      <c r="L47" s="162"/>
      <c r="M47" s="162"/>
      <c r="N47" s="162"/>
      <c r="O47" s="162"/>
      <c r="P47" s="162"/>
      <c r="Q47" s="162"/>
      <c r="R47" s="161"/>
    </row>
    <row r="48" spans="2:18" x14ac:dyDescent="0.25">
      <c r="B48" s="164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250" t="s">
        <v>120</v>
      </c>
      <c r="N48" s="251"/>
      <c r="O48" s="251"/>
      <c r="P48" s="251"/>
      <c r="Q48" s="252"/>
      <c r="R48" s="161"/>
    </row>
    <row r="49" spans="2:18" ht="16.5" thickBot="1" x14ac:dyDescent="0.3">
      <c r="B49" s="164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253"/>
      <c r="N49" s="254"/>
      <c r="O49" s="254"/>
      <c r="P49" s="254"/>
      <c r="Q49" s="255"/>
      <c r="R49" s="161"/>
    </row>
    <row r="50" spans="2:18" ht="32.25" thickBot="1" x14ac:dyDescent="0.3">
      <c r="B50" s="164"/>
      <c r="C50" s="162"/>
      <c r="D50" s="170" t="s">
        <v>119</v>
      </c>
      <c r="E50" s="256"/>
      <c r="F50" s="251"/>
      <c r="G50" s="252"/>
      <c r="H50" s="170" t="s">
        <v>106</v>
      </c>
      <c r="I50" s="162"/>
      <c r="J50" s="163" t="s">
        <v>118</v>
      </c>
      <c r="K50" s="198" t="s">
        <v>117</v>
      </c>
      <c r="L50" s="162"/>
      <c r="M50" s="214" t="s">
        <v>1</v>
      </c>
      <c r="N50" s="213" t="s">
        <v>116</v>
      </c>
      <c r="O50" s="195" t="s">
        <v>115</v>
      </c>
      <c r="P50" s="194" t="s">
        <v>114</v>
      </c>
      <c r="Q50" s="193" t="s">
        <v>113</v>
      </c>
      <c r="R50" s="161"/>
    </row>
    <row r="51" spans="2:18" ht="16.5" thickBot="1" x14ac:dyDescent="0.3">
      <c r="B51" s="164"/>
      <c r="C51" s="162"/>
      <c r="D51" s="163">
        <f>ROUND(J41*tr_klm,0)</f>
        <v>280371</v>
      </c>
      <c r="E51" s="253"/>
      <c r="F51" s="254"/>
      <c r="G51" s="255"/>
      <c r="H51" s="192">
        <f>ratio_klm</f>
        <v>1843.3333333333333</v>
      </c>
      <c r="I51" s="162"/>
      <c r="J51" s="191" t="s">
        <v>112</v>
      </c>
      <c r="K51" s="190">
        <f>J44-K6</f>
        <v>20</v>
      </c>
      <c r="L51" s="162"/>
      <c r="M51" s="210">
        <f>E44-E6</f>
        <v>20</v>
      </c>
      <c r="N51" s="212">
        <f>F44-F24</f>
        <v>0</v>
      </c>
      <c r="O51" s="189">
        <f t="shared" ref="O51:Q52" si="4">G44-G6</f>
        <v>6</v>
      </c>
      <c r="P51" s="187">
        <f t="shared" si="4"/>
        <v>7</v>
      </c>
      <c r="Q51" s="186">
        <f t="shared" si="4"/>
        <v>7</v>
      </c>
      <c r="R51" s="161"/>
    </row>
    <row r="52" spans="2:18" ht="16.5" thickBot="1" x14ac:dyDescent="0.3">
      <c r="B52" s="164"/>
      <c r="C52" s="162"/>
      <c r="D52" s="257"/>
      <c r="E52" s="258"/>
      <c r="F52" s="258"/>
      <c r="G52" s="258"/>
      <c r="H52" s="259"/>
      <c r="I52" s="162"/>
      <c r="J52" s="185" t="s">
        <v>111</v>
      </c>
      <c r="K52" s="184">
        <f>J45-K7</f>
        <v>23</v>
      </c>
      <c r="L52" s="162"/>
      <c r="M52" s="210">
        <f>E45-E7</f>
        <v>14</v>
      </c>
      <c r="N52" s="211">
        <f>F45-F7</f>
        <v>9</v>
      </c>
      <c r="O52" s="183">
        <f t="shared" si="4"/>
        <v>2</v>
      </c>
      <c r="P52" s="181">
        <f t="shared" si="4"/>
        <v>6</v>
      </c>
      <c r="Q52" s="180">
        <f t="shared" si="4"/>
        <v>14</v>
      </c>
      <c r="R52" s="161"/>
    </row>
    <row r="53" spans="2:18" ht="16.5" thickBot="1" x14ac:dyDescent="0.3">
      <c r="B53" s="164"/>
      <c r="C53" s="162"/>
      <c r="D53" s="179"/>
      <c r="E53" s="178"/>
      <c r="F53" s="178"/>
      <c r="G53" s="178"/>
      <c r="H53" s="177"/>
      <c r="I53" s="162"/>
      <c r="J53" s="176" t="s">
        <v>110</v>
      </c>
      <c r="K53" s="175">
        <f>J46-K8</f>
        <v>1</v>
      </c>
      <c r="L53" s="162"/>
      <c r="M53" s="210">
        <f>E46-E8</f>
        <v>1</v>
      </c>
      <c r="N53" s="209">
        <f>F46-F26</f>
        <v>0</v>
      </c>
      <c r="O53" s="174">
        <f>K53-P53-Q53</f>
        <v>1</v>
      </c>
      <c r="P53" s="172">
        <v>0</v>
      </c>
      <c r="Q53" s="171">
        <v>0</v>
      </c>
      <c r="R53" s="161"/>
    </row>
    <row r="54" spans="2:18" ht="32.25" thickBot="1" x14ac:dyDescent="0.3">
      <c r="B54" s="164"/>
      <c r="C54" s="162"/>
      <c r="D54" s="170" t="s">
        <v>109</v>
      </c>
      <c r="E54" s="260" t="s">
        <v>108</v>
      </c>
      <c r="F54" s="261"/>
      <c r="G54" s="170" t="s">
        <v>107</v>
      </c>
      <c r="H54" s="170" t="s">
        <v>106</v>
      </c>
      <c r="I54" s="162"/>
      <c r="J54" s="163" t="s">
        <v>0</v>
      </c>
      <c r="K54" s="169">
        <f>SUM(K51:K53)</f>
        <v>44</v>
      </c>
      <c r="L54" s="162"/>
      <c r="M54" s="208">
        <f>SUM(M51:M53)</f>
        <v>35</v>
      </c>
      <c r="N54" s="207">
        <f>SUM(N51:N53)</f>
        <v>9</v>
      </c>
      <c r="O54" s="167">
        <f>SUM(O51:O53)</f>
        <v>9</v>
      </c>
      <c r="P54" s="166">
        <f>SUM(P51:P53)</f>
        <v>13</v>
      </c>
      <c r="Q54" s="165">
        <f>SUM(Q51:Q53)</f>
        <v>21</v>
      </c>
      <c r="R54" s="161"/>
    </row>
    <row r="55" spans="2:18" ht="16.5" thickBot="1" x14ac:dyDescent="0.3">
      <c r="B55" s="164"/>
      <c r="C55" s="162"/>
      <c r="D55" s="163">
        <f>ROUND(J41*tr_trans,0)</f>
        <v>35701</v>
      </c>
      <c r="E55" s="237">
        <f>E37</f>
        <v>0.73170731707317072</v>
      </c>
      <c r="F55" s="238"/>
      <c r="G55" s="163">
        <f>D55*E55</f>
        <v>26122.682926829268</v>
      </c>
      <c r="H55" s="163">
        <f>ratio_trans</f>
        <v>669.8</v>
      </c>
      <c r="I55" s="162"/>
      <c r="J55" s="162"/>
      <c r="K55" s="162"/>
      <c r="L55" s="162"/>
      <c r="M55" s="162"/>
      <c r="N55" s="162"/>
      <c r="O55" s="162"/>
      <c r="P55" s="162"/>
      <c r="Q55" s="162"/>
      <c r="R55" s="161"/>
    </row>
    <row r="56" spans="2:18" ht="16.5" thickBot="1" x14ac:dyDescent="0.3">
      <c r="B56" s="160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8"/>
    </row>
    <row r="57" spans="2:18" ht="16.5" thickBot="1" x14ac:dyDescent="0.3"/>
    <row r="58" spans="2:18" ht="16.5" thickBot="1" x14ac:dyDescent="0.3">
      <c r="B58" s="206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4"/>
    </row>
    <row r="59" spans="2:18" ht="16.5" thickBot="1" x14ac:dyDescent="0.3">
      <c r="B59" s="164"/>
      <c r="C59" s="239" t="s">
        <v>130</v>
      </c>
      <c r="D59" s="240"/>
      <c r="E59" s="240"/>
      <c r="F59" s="240"/>
      <c r="G59" s="240"/>
      <c r="H59" s="240"/>
      <c r="I59" s="243" t="s">
        <v>129</v>
      </c>
      <c r="J59" s="245">
        <v>1.5</v>
      </c>
      <c r="K59" s="246"/>
      <c r="L59" s="162"/>
      <c r="M59" s="257" t="s">
        <v>128</v>
      </c>
      <c r="N59" s="258"/>
      <c r="O59" s="258"/>
      <c r="P59" s="258"/>
      <c r="Q59" s="259"/>
      <c r="R59" s="161"/>
    </row>
    <row r="60" spans="2:18" ht="16.5" thickBot="1" x14ac:dyDescent="0.3">
      <c r="B60" s="164"/>
      <c r="C60" s="241"/>
      <c r="D60" s="242"/>
      <c r="E60" s="242"/>
      <c r="F60" s="242"/>
      <c r="G60" s="242"/>
      <c r="H60" s="242"/>
      <c r="I60" s="244"/>
      <c r="J60" s="244"/>
      <c r="K60" s="246"/>
      <c r="L60" s="162"/>
      <c r="M60" s="245" t="s">
        <v>118</v>
      </c>
      <c r="N60" s="243" t="s">
        <v>127</v>
      </c>
      <c r="O60" s="245" t="s">
        <v>125</v>
      </c>
      <c r="P60" s="245" t="s">
        <v>114</v>
      </c>
      <c r="Q60" s="245" t="s">
        <v>113</v>
      </c>
      <c r="R60" s="161"/>
    </row>
    <row r="61" spans="2:18" ht="16.5" thickBot="1" x14ac:dyDescent="0.3">
      <c r="B61" s="164"/>
      <c r="C61" s="247" t="s">
        <v>1</v>
      </c>
      <c r="D61" s="163" t="s">
        <v>126</v>
      </c>
      <c r="E61" s="163" t="s">
        <v>1</v>
      </c>
      <c r="F61" s="163" t="s">
        <v>116</v>
      </c>
      <c r="G61" s="203" t="s">
        <v>125</v>
      </c>
      <c r="H61" s="203" t="s">
        <v>124</v>
      </c>
      <c r="I61" s="203" t="s">
        <v>123</v>
      </c>
      <c r="J61" s="203" t="s">
        <v>0</v>
      </c>
      <c r="K61" s="162"/>
      <c r="L61" s="162"/>
      <c r="M61" s="244"/>
      <c r="N61" s="262"/>
      <c r="O61" s="263"/>
      <c r="P61" s="263"/>
      <c r="Q61" s="263"/>
      <c r="R61" s="161"/>
    </row>
    <row r="62" spans="2:18" x14ac:dyDescent="0.25">
      <c r="B62" s="164"/>
      <c r="C62" s="248"/>
      <c r="D62" s="190" t="s">
        <v>122</v>
      </c>
      <c r="E62" s="190">
        <f>ROUND(N62*E65,0)</f>
        <v>99</v>
      </c>
      <c r="F62" s="191">
        <v>0</v>
      </c>
      <c r="G62" s="190">
        <f>ROUND(J62*O62,0)</f>
        <v>29</v>
      </c>
      <c r="H62" s="190">
        <f>ROUND(J62*P62,0)</f>
        <v>35</v>
      </c>
      <c r="I62" s="190">
        <f>ROUND(Q62*J62,0)</f>
        <v>36</v>
      </c>
      <c r="J62" s="190">
        <f>SUM(E62:F62)</f>
        <v>99</v>
      </c>
      <c r="K62" s="162"/>
      <c r="L62" s="162"/>
      <c r="M62" s="191" t="s">
        <v>112</v>
      </c>
      <c r="N62" s="202">
        <f t="shared" ref="N62:Q64" si="5">N6</f>
        <v>0.5641025641025641</v>
      </c>
      <c r="O62" s="202">
        <f t="shared" si="5"/>
        <v>0.2878787878787879</v>
      </c>
      <c r="P62" s="202">
        <f t="shared" si="5"/>
        <v>0.34848484848484851</v>
      </c>
      <c r="Q62" s="202">
        <f t="shared" si="5"/>
        <v>0.36363636363636365</v>
      </c>
      <c r="R62" s="161"/>
    </row>
    <row r="63" spans="2:18" x14ac:dyDescent="0.25">
      <c r="B63" s="164"/>
      <c r="C63" s="248"/>
      <c r="D63" s="184" t="s">
        <v>121</v>
      </c>
      <c r="E63" s="184">
        <f>ROUND(N63*E65,0)</f>
        <v>71</v>
      </c>
      <c r="F63" s="185">
        <f>F65-F62-F64</f>
        <v>45</v>
      </c>
      <c r="G63" s="184">
        <f>ROUND(J63*O63,0)</f>
        <v>12</v>
      </c>
      <c r="H63" s="184">
        <f>ROUND(J63*P63,0)</f>
        <v>31</v>
      </c>
      <c r="I63" s="184">
        <f>ROUND(Q63*J63,0)</f>
        <v>73</v>
      </c>
      <c r="J63" s="184">
        <f>SUM(E63:F63)</f>
        <v>116</v>
      </c>
      <c r="K63" s="162"/>
      <c r="L63" s="162"/>
      <c r="M63" s="185" t="s">
        <v>111</v>
      </c>
      <c r="N63" s="201">
        <f t="shared" si="5"/>
        <v>0.40170940170940173</v>
      </c>
      <c r="O63" s="201">
        <f t="shared" si="5"/>
        <v>0.10256410256410256</v>
      </c>
      <c r="P63" s="201">
        <f t="shared" si="5"/>
        <v>0.26923076923076922</v>
      </c>
      <c r="Q63" s="201">
        <f t="shared" si="5"/>
        <v>0.62820512820512819</v>
      </c>
      <c r="R63" s="161"/>
    </row>
    <row r="64" spans="2:18" ht="16.5" thickBot="1" x14ac:dyDescent="0.3">
      <c r="B64" s="164"/>
      <c r="C64" s="248"/>
      <c r="D64" s="175" t="s">
        <v>110</v>
      </c>
      <c r="E64" s="175">
        <f>ROUND(N64*E65,0)</f>
        <v>6</v>
      </c>
      <c r="F64" s="176">
        <v>0</v>
      </c>
      <c r="G64" s="175">
        <f>ROUND(J64*O64,0)</f>
        <v>1</v>
      </c>
      <c r="H64" s="175">
        <f>ROUND(J64*P64,0)</f>
        <v>2</v>
      </c>
      <c r="I64" s="175">
        <f>ROUND(Q64*J64,0)</f>
        <v>2</v>
      </c>
      <c r="J64" s="175">
        <f>SUM(E64:F64)</f>
        <v>6</v>
      </c>
      <c r="K64" s="162"/>
      <c r="L64" s="162"/>
      <c r="M64" s="176" t="s">
        <v>110</v>
      </c>
      <c r="N64" s="200">
        <f t="shared" si="5"/>
        <v>3.4188034188034191E-2</v>
      </c>
      <c r="O64" s="200">
        <f t="shared" si="5"/>
        <v>0.23076923076923078</v>
      </c>
      <c r="P64" s="200">
        <f t="shared" si="5"/>
        <v>0.38461538461538464</v>
      </c>
      <c r="Q64" s="200">
        <f t="shared" si="5"/>
        <v>0.38461538461538464</v>
      </c>
      <c r="R64" s="161"/>
    </row>
    <row r="65" spans="2:18" ht="16.5" thickBot="1" x14ac:dyDescent="0.3">
      <c r="B65" s="164"/>
      <c r="C65" s="249"/>
      <c r="D65" s="199" t="s">
        <v>0</v>
      </c>
      <c r="E65" s="163">
        <f>ROUND(D69/H69,0)</f>
        <v>176</v>
      </c>
      <c r="F65" s="163">
        <f>ROUND(G73/H73,0)</f>
        <v>45</v>
      </c>
      <c r="G65" s="169">
        <f>SUM(G62:G64)</f>
        <v>42</v>
      </c>
      <c r="H65" s="169">
        <f>SUM(H62:H64)</f>
        <v>68</v>
      </c>
      <c r="I65" s="169">
        <f>SUM(I62:I64)</f>
        <v>111</v>
      </c>
      <c r="J65" s="163">
        <f>SUM(E65:F65)</f>
        <v>221</v>
      </c>
      <c r="K65" s="162"/>
      <c r="L65" s="162"/>
      <c r="M65" s="162"/>
      <c r="N65" s="162"/>
      <c r="O65" s="162"/>
      <c r="P65" s="162"/>
      <c r="Q65" s="162"/>
      <c r="R65" s="161"/>
    </row>
    <row r="66" spans="2:18" x14ac:dyDescent="0.25">
      <c r="B66" s="164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250" t="s">
        <v>120</v>
      </c>
      <c r="N66" s="251"/>
      <c r="O66" s="251"/>
      <c r="P66" s="251"/>
      <c r="Q66" s="252"/>
      <c r="R66" s="161"/>
    </row>
    <row r="67" spans="2:18" ht="16.5" thickBot="1" x14ac:dyDescent="0.3">
      <c r="B67" s="164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253"/>
      <c r="N67" s="254"/>
      <c r="O67" s="254"/>
      <c r="P67" s="254"/>
      <c r="Q67" s="255"/>
      <c r="R67" s="161"/>
    </row>
    <row r="68" spans="2:18" ht="32.25" thickBot="1" x14ac:dyDescent="0.3">
      <c r="B68" s="164"/>
      <c r="C68" s="162"/>
      <c r="D68" s="170" t="s">
        <v>119</v>
      </c>
      <c r="E68" s="256"/>
      <c r="F68" s="251"/>
      <c r="G68" s="252"/>
      <c r="H68" s="170" t="s">
        <v>106</v>
      </c>
      <c r="I68" s="162"/>
      <c r="J68" s="163" t="s">
        <v>118</v>
      </c>
      <c r="K68" s="198" t="s">
        <v>117</v>
      </c>
      <c r="L68" s="162"/>
      <c r="M68" s="197" t="s">
        <v>1</v>
      </c>
      <c r="N68" s="196" t="s">
        <v>116</v>
      </c>
      <c r="O68" s="195" t="s">
        <v>115</v>
      </c>
      <c r="P68" s="194" t="s">
        <v>114</v>
      </c>
      <c r="Q68" s="193" t="s">
        <v>113</v>
      </c>
      <c r="R68" s="161"/>
    </row>
    <row r="69" spans="2:18" ht="16.5" thickBot="1" x14ac:dyDescent="0.3">
      <c r="B69" s="164"/>
      <c r="C69" s="162"/>
      <c r="D69" s="163">
        <f>ROUND(J59*tr_klm,0)</f>
        <v>323505</v>
      </c>
      <c r="E69" s="253"/>
      <c r="F69" s="254"/>
      <c r="G69" s="255"/>
      <c r="H69" s="192">
        <f>ratio_klm</f>
        <v>1843.3333333333333</v>
      </c>
      <c r="I69" s="162"/>
      <c r="J69" s="191" t="s">
        <v>112</v>
      </c>
      <c r="K69" s="190">
        <f>J62-K6</f>
        <v>33</v>
      </c>
      <c r="L69" s="162"/>
      <c r="M69" s="189">
        <f t="shared" ref="M69:Q70" si="6">E62-E6</f>
        <v>33</v>
      </c>
      <c r="N69" s="186">
        <f t="shared" si="6"/>
        <v>0</v>
      </c>
      <c r="O69" s="188">
        <f t="shared" si="6"/>
        <v>10</v>
      </c>
      <c r="P69" s="187">
        <f t="shared" si="6"/>
        <v>12</v>
      </c>
      <c r="Q69" s="186">
        <f t="shared" si="6"/>
        <v>12</v>
      </c>
      <c r="R69" s="161"/>
    </row>
    <row r="70" spans="2:18" ht="16.5" thickBot="1" x14ac:dyDescent="0.3">
      <c r="B70" s="164"/>
      <c r="C70" s="162"/>
      <c r="D70" s="257"/>
      <c r="E70" s="258"/>
      <c r="F70" s="258"/>
      <c r="G70" s="258"/>
      <c r="H70" s="259"/>
      <c r="I70" s="162"/>
      <c r="J70" s="185" t="s">
        <v>111</v>
      </c>
      <c r="K70" s="184">
        <f>J63-K7</f>
        <v>39</v>
      </c>
      <c r="L70" s="162"/>
      <c r="M70" s="183">
        <f t="shared" si="6"/>
        <v>24</v>
      </c>
      <c r="N70" s="180">
        <f t="shared" si="6"/>
        <v>15</v>
      </c>
      <c r="O70" s="182">
        <f t="shared" si="6"/>
        <v>4</v>
      </c>
      <c r="P70" s="181">
        <f t="shared" si="6"/>
        <v>10</v>
      </c>
      <c r="Q70" s="180">
        <f t="shared" si="6"/>
        <v>24</v>
      </c>
      <c r="R70" s="161"/>
    </row>
    <row r="71" spans="2:18" ht="16.5" thickBot="1" x14ac:dyDescent="0.3">
      <c r="B71" s="164"/>
      <c r="C71" s="162"/>
      <c r="D71" s="179"/>
      <c r="E71" s="178"/>
      <c r="F71" s="178"/>
      <c r="G71" s="178"/>
      <c r="H71" s="177"/>
      <c r="I71" s="162"/>
      <c r="J71" s="176" t="s">
        <v>110</v>
      </c>
      <c r="K71" s="175">
        <f>J64-K8</f>
        <v>2</v>
      </c>
      <c r="L71" s="162"/>
      <c r="M71" s="174">
        <f>E64-E8</f>
        <v>2</v>
      </c>
      <c r="N71" s="171">
        <f>F64-F8</f>
        <v>0</v>
      </c>
      <c r="O71" s="173">
        <f>K71-P71-Q71</f>
        <v>2</v>
      </c>
      <c r="P71" s="172">
        <v>0</v>
      </c>
      <c r="Q71" s="171">
        <v>0</v>
      </c>
      <c r="R71" s="161"/>
    </row>
    <row r="72" spans="2:18" ht="32.25" thickBot="1" x14ac:dyDescent="0.3">
      <c r="B72" s="164"/>
      <c r="C72" s="162"/>
      <c r="D72" s="170" t="s">
        <v>109</v>
      </c>
      <c r="E72" s="260" t="s">
        <v>108</v>
      </c>
      <c r="F72" s="261"/>
      <c r="G72" s="170" t="s">
        <v>107</v>
      </c>
      <c r="H72" s="170" t="s">
        <v>106</v>
      </c>
      <c r="I72" s="162"/>
      <c r="J72" s="163" t="s">
        <v>0</v>
      </c>
      <c r="K72" s="169">
        <f>SUM(K69:K71)</f>
        <v>74</v>
      </c>
      <c r="L72" s="162"/>
      <c r="M72" s="167">
        <f>SUM(M69:M71)</f>
        <v>59</v>
      </c>
      <c r="N72" s="168">
        <f>SUM(N69:N71)</f>
        <v>15</v>
      </c>
      <c r="O72" s="167">
        <f>SUM(O69:O71)</f>
        <v>16</v>
      </c>
      <c r="P72" s="166">
        <f>SUM(P69:P71)</f>
        <v>22</v>
      </c>
      <c r="Q72" s="165">
        <f>SUM(Q69:Q71)</f>
        <v>36</v>
      </c>
      <c r="R72" s="161"/>
    </row>
    <row r="73" spans="2:18" ht="16.5" thickBot="1" x14ac:dyDescent="0.3">
      <c r="B73" s="164"/>
      <c r="C73" s="162"/>
      <c r="D73" s="163">
        <f>ROUND(J59*tr_trans,0)</f>
        <v>41193</v>
      </c>
      <c r="E73" s="237">
        <f>E55</f>
        <v>0.73170731707317072</v>
      </c>
      <c r="F73" s="238"/>
      <c r="G73" s="163">
        <f>D73*E73</f>
        <v>30141.219512195123</v>
      </c>
      <c r="H73" s="163">
        <f>ratio_trans</f>
        <v>669.8</v>
      </c>
      <c r="I73" s="162"/>
      <c r="J73" s="162"/>
      <c r="K73" s="162"/>
      <c r="L73" s="162"/>
      <c r="M73" s="162"/>
      <c r="N73" s="162"/>
      <c r="O73" s="162"/>
      <c r="P73" s="162"/>
      <c r="Q73" s="162"/>
      <c r="R73" s="161"/>
    </row>
    <row r="74" spans="2:18" ht="16.5" thickBot="1" x14ac:dyDescent="0.3">
      <c r="B74" s="160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8"/>
    </row>
  </sheetData>
  <mergeCells count="57">
    <mergeCell ref="C11:C13"/>
    <mergeCell ref="K23:K24"/>
    <mergeCell ref="M30:Q31"/>
    <mergeCell ref="M3:Q3"/>
    <mergeCell ref="E18:F18"/>
    <mergeCell ref="E19:F19"/>
    <mergeCell ref="C3:K4"/>
    <mergeCell ref="D17:H17"/>
    <mergeCell ref="E15:G16"/>
    <mergeCell ref="E11:E13"/>
    <mergeCell ref="C5:C9"/>
    <mergeCell ref="M23:Q23"/>
    <mergeCell ref="Q24:Q25"/>
    <mergeCell ref="P24:P25"/>
    <mergeCell ref="O24:O25"/>
    <mergeCell ref="N24:N25"/>
    <mergeCell ref="M24:M25"/>
    <mergeCell ref="E36:F36"/>
    <mergeCell ref="E37:F37"/>
    <mergeCell ref="J23:J24"/>
    <mergeCell ref="I23:I24"/>
    <mergeCell ref="C23:H24"/>
    <mergeCell ref="C25:C29"/>
    <mergeCell ref="E32:G33"/>
    <mergeCell ref="D34:H34"/>
    <mergeCell ref="C43:C47"/>
    <mergeCell ref="M48:Q49"/>
    <mergeCell ref="E50:G51"/>
    <mergeCell ref="D52:H52"/>
    <mergeCell ref="E54:F54"/>
    <mergeCell ref="M42:M43"/>
    <mergeCell ref="N42:N43"/>
    <mergeCell ref="O42:O43"/>
    <mergeCell ref="P42:P43"/>
    <mergeCell ref="Q42:Q43"/>
    <mergeCell ref="M66:Q67"/>
    <mergeCell ref="E68:G69"/>
    <mergeCell ref="D70:H70"/>
    <mergeCell ref="E72:F72"/>
    <mergeCell ref="M41:Q41"/>
    <mergeCell ref="M60:M61"/>
    <mergeCell ref="N60:N61"/>
    <mergeCell ref="O60:O61"/>
    <mergeCell ref="P60:P61"/>
    <mergeCell ref="Q60:Q61"/>
    <mergeCell ref="M59:Q59"/>
    <mergeCell ref="E55:F55"/>
    <mergeCell ref="C41:H42"/>
    <mergeCell ref="I41:I42"/>
    <mergeCell ref="J41:J42"/>
    <mergeCell ref="K41:K42"/>
    <mergeCell ref="E73:F73"/>
    <mergeCell ref="C59:H60"/>
    <mergeCell ref="I59:I60"/>
    <mergeCell ref="J59:J60"/>
    <mergeCell ref="K59:K60"/>
    <mergeCell ref="C61:C65"/>
  </mergeCells>
  <pageMargins left="0.1" right="0.1" top="0.1" bottom="0.1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zoomScale="70" zoomScaleNormal="70" zoomScaleSheetLayoutView="85" workbookViewId="0"/>
  </sheetViews>
  <sheetFormatPr defaultColWidth="8.85546875" defaultRowHeight="15" x14ac:dyDescent="0.25"/>
  <cols>
    <col min="1" max="1" width="4.7109375" style="34" customWidth="1"/>
    <col min="2" max="2" width="17.140625" style="34" bestFit="1" customWidth="1"/>
    <col min="3" max="3" width="8.85546875" style="34" bestFit="1" customWidth="1"/>
    <col min="4" max="4" width="17.28515625" style="34" bestFit="1" customWidth="1"/>
    <col min="5" max="5" width="15.85546875" style="34" bestFit="1" customWidth="1"/>
    <col min="6" max="6" width="9.85546875" style="34" bestFit="1" customWidth="1"/>
    <col min="7" max="16384" width="8.85546875" style="34"/>
  </cols>
  <sheetData>
    <row r="2" spans="2:6" ht="15.75" thickBot="1" x14ac:dyDescent="0.3">
      <c r="C2" s="272" t="s">
        <v>164</v>
      </c>
      <c r="D2" s="272"/>
      <c r="E2" s="272"/>
      <c r="F2" s="272"/>
    </row>
    <row r="3" spans="2:6" ht="15.75" thickBot="1" x14ac:dyDescent="0.3">
      <c r="B3" s="273" t="s">
        <v>100</v>
      </c>
      <c r="C3" s="274"/>
      <c r="D3" s="274"/>
      <c r="E3" s="274"/>
      <c r="F3" s="275"/>
    </row>
    <row r="4" spans="2:6" ht="15.75" thickBot="1" x14ac:dyDescent="0.3">
      <c r="B4" s="136"/>
      <c r="C4" s="231" t="s">
        <v>155</v>
      </c>
      <c r="D4" s="231" t="s">
        <v>154</v>
      </c>
      <c r="E4" s="231" t="s">
        <v>163</v>
      </c>
      <c r="F4" s="231" t="s">
        <v>137</v>
      </c>
    </row>
    <row r="5" spans="2:6" x14ac:dyDescent="0.25">
      <c r="B5" s="266" t="s">
        <v>162</v>
      </c>
      <c r="C5" s="226">
        <v>2</v>
      </c>
      <c r="D5" s="227" t="s">
        <v>146</v>
      </c>
      <c r="E5" s="226">
        <v>320</v>
      </c>
      <c r="F5" s="226">
        <v>640</v>
      </c>
    </row>
    <row r="6" spans="2:6" x14ac:dyDescent="0.25">
      <c r="B6" s="267"/>
      <c r="C6" s="224">
        <v>2</v>
      </c>
      <c r="D6" s="225" t="s">
        <v>150</v>
      </c>
      <c r="E6" s="224">
        <v>260</v>
      </c>
      <c r="F6" s="224">
        <v>520</v>
      </c>
    </row>
    <row r="7" spans="2:6" x14ac:dyDescent="0.25">
      <c r="B7" s="267"/>
      <c r="C7" s="224">
        <v>1</v>
      </c>
      <c r="D7" s="225" t="s">
        <v>149</v>
      </c>
      <c r="E7" s="224">
        <v>295</v>
      </c>
      <c r="F7" s="224">
        <v>295</v>
      </c>
    </row>
    <row r="8" spans="2:6" ht="15.75" thickBot="1" x14ac:dyDescent="0.3">
      <c r="B8" s="268"/>
      <c r="C8" s="99">
        <v>2</v>
      </c>
      <c r="D8" s="223" t="s">
        <v>161</v>
      </c>
      <c r="E8" s="99">
        <v>245</v>
      </c>
      <c r="F8" s="99">
        <v>490</v>
      </c>
    </row>
    <row r="9" spans="2:6" x14ac:dyDescent="0.25">
      <c r="B9" s="266" t="s">
        <v>160</v>
      </c>
      <c r="C9" s="235">
        <v>5</v>
      </c>
      <c r="D9" s="236" t="s">
        <v>144</v>
      </c>
      <c r="E9" s="235">
        <v>87.7</v>
      </c>
      <c r="F9" s="235">
        <v>438</v>
      </c>
    </row>
    <row r="10" spans="2:6" x14ac:dyDescent="0.25">
      <c r="B10" s="267"/>
      <c r="C10" s="224">
        <v>2</v>
      </c>
      <c r="D10" s="225" t="s">
        <v>143</v>
      </c>
      <c r="E10" s="224">
        <v>106.9</v>
      </c>
      <c r="F10" s="224">
        <v>213.8</v>
      </c>
    </row>
    <row r="11" spans="2:6" ht="15.75" thickBot="1" x14ac:dyDescent="0.3">
      <c r="B11" s="268"/>
      <c r="C11" s="99">
        <v>1</v>
      </c>
      <c r="D11" s="223" t="s">
        <v>157</v>
      </c>
      <c r="E11" s="99">
        <v>95</v>
      </c>
      <c r="F11" s="99">
        <v>95</v>
      </c>
    </row>
    <row r="12" spans="2:6" ht="15.75" thickBot="1" x14ac:dyDescent="0.3">
      <c r="B12" s="279"/>
      <c r="C12" s="279"/>
      <c r="D12" s="279"/>
      <c r="E12" s="220" t="s">
        <v>137</v>
      </c>
      <c r="F12" s="132">
        <f>SUM(F5:F11)</f>
        <v>2691.8</v>
      </c>
    </row>
    <row r="13" spans="2:6" ht="15.75" thickBot="1" x14ac:dyDescent="0.3">
      <c r="D13" s="234"/>
    </row>
    <row r="14" spans="2:6" ht="15.75" thickBot="1" x14ac:dyDescent="0.3">
      <c r="B14" s="269" t="s">
        <v>101</v>
      </c>
      <c r="C14" s="270"/>
      <c r="D14" s="270"/>
      <c r="E14" s="270"/>
      <c r="F14" s="271"/>
    </row>
    <row r="15" spans="2:6" ht="15.75" thickBot="1" x14ac:dyDescent="0.3">
      <c r="B15" s="136"/>
      <c r="C15" s="232" t="s">
        <v>155</v>
      </c>
      <c r="D15" s="233" t="s">
        <v>154</v>
      </c>
      <c r="E15" s="232" t="s">
        <v>153</v>
      </c>
      <c r="F15" s="231" t="s">
        <v>137</v>
      </c>
    </row>
    <row r="16" spans="2:6" x14ac:dyDescent="0.25">
      <c r="B16" s="280" t="s">
        <v>159</v>
      </c>
      <c r="C16" s="226">
        <v>5</v>
      </c>
      <c r="D16" s="227" t="s">
        <v>147</v>
      </c>
      <c r="E16" s="226">
        <v>257</v>
      </c>
      <c r="F16" s="226">
        <v>1285</v>
      </c>
    </row>
    <row r="17" spans="2:6" x14ac:dyDescent="0.25">
      <c r="B17" s="281"/>
      <c r="C17" s="224">
        <v>7</v>
      </c>
      <c r="D17" s="225" t="s">
        <v>150</v>
      </c>
      <c r="E17" s="224">
        <v>260</v>
      </c>
      <c r="F17" s="224">
        <v>1820</v>
      </c>
    </row>
    <row r="18" spans="2:6" x14ac:dyDescent="0.25">
      <c r="B18" s="281"/>
      <c r="C18" s="224">
        <v>5</v>
      </c>
      <c r="D18" s="225" t="s">
        <v>149</v>
      </c>
      <c r="E18" s="224">
        <v>347</v>
      </c>
      <c r="F18" s="224">
        <v>1735</v>
      </c>
    </row>
    <row r="19" spans="2:6" ht="15.75" thickBot="1" x14ac:dyDescent="0.3">
      <c r="B19" s="282"/>
      <c r="C19" s="99">
        <v>3</v>
      </c>
      <c r="D19" s="223" t="s">
        <v>146</v>
      </c>
      <c r="E19" s="99">
        <v>320</v>
      </c>
      <c r="F19" s="99">
        <v>960</v>
      </c>
    </row>
    <row r="20" spans="2:6" x14ac:dyDescent="0.25">
      <c r="B20" s="280" t="s">
        <v>158</v>
      </c>
      <c r="C20" s="226">
        <v>8</v>
      </c>
      <c r="D20" s="227" t="s">
        <v>141</v>
      </c>
      <c r="E20" s="226">
        <v>75</v>
      </c>
      <c r="F20" s="226">
        <v>600</v>
      </c>
    </row>
    <row r="21" spans="2:6" x14ac:dyDescent="0.25">
      <c r="B21" s="281"/>
      <c r="C21" s="224">
        <v>2</v>
      </c>
      <c r="D21" s="225" t="s">
        <v>157</v>
      </c>
      <c r="E21" s="224">
        <v>95</v>
      </c>
      <c r="F21" s="224">
        <v>190</v>
      </c>
    </row>
    <row r="22" spans="2:6" x14ac:dyDescent="0.25">
      <c r="B22" s="281"/>
      <c r="C22" s="224">
        <v>4</v>
      </c>
      <c r="D22" s="225" t="s">
        <v>144</v>
      </c>
      <c r="E22" s="224">
        <v>87.4</v>
      </c>
      <c r="F22" s="224">
        <v>350.8</v>
      </c>
    </row>
    <row r="23" spans="2:6" x14ac:dyDescent="0.25">
      <c r="B23" s="281"/>
      <c r="C23" s="224">
        <v>5</v>
      </c>
      <c r="D23" s="225" t="s">
        <v>142</v>
      </c>
      <c r="E23" s="224">
        <v>113.3</v>
      </c>
      <c r="F23" s="224">
        <v>566.5</v>
      </c>
    </row>
    <row r="24" spans="2:6" ht="15.75" thickBot="1" x14ac:dyDescent="0.3">
      <c r="B24" s="282"/>
      <c r="C24" s="99">
        <v>4</v>
      </c>
      <c r="D24" s="223" t="s">
        <v>143</v>
      </c>
      <c r="E24" s="99">
        <v>106.9</v>
      </c>
      <c r="F24" s="99">
        <v>427.6</v>
      </c>
    </row>
    <row r="25" spans="2:6" ht="15.75" thickBot="1" x14ac:dyDescent="0.3">
      <c r="B25" s="222" t="s">
        <v>156</v>
      </c>
      <c r="C25" s="230">
        <v>1</v>
      </c>
      <c r="D25" s="229" t="s">
        <v>138</v>
      </c>
      <c r="E25" s="228">
        <v>222</v>
      </c>
      <c r="F25" s="228">
        <v>222</v>
      </c>
    </row>
    <row r="26" spans="2:6" ht="15.75" thickBot="1" x14ac:dyDescent="0.3">
      <c r="E26" s="220" t="s">
        <v>137</v>
      </c>
      <c r="F26" s="132">
        <f>SUM(F16:F25)</f>
        <v>8156.9000000000005</v>
      </c>
    </row>
    <row r="27" spans="2:6" ht="15.75" thickBot="1" x14ac:dyDescent="0.3"/>
    <row r="28" spans="2:6" ht="15.75" thickBot="1" x14ac:dyDescent="0.3">
      <c r="B28" s="276" t="s">
        <v>102</v>
      </c>
      <c r="C28" s="277"/>
      <c r="D28" s="277"/>
      <c r="E28" s="277"/>
      <c r="F28" s="278"/>
    </row>
    <row r="29" spans="2:6" ht="15.75" thickBot="1" x14ac:dyDescent="0.3">
      <c r="B29" s="222"/>
      <c r="C29" s="222" t="s">
        <v>155</v>
      </c>
      <c r="D29" s="222" t="s">
        <v>154</v>
      </c>
      <c r="E29" s="222" t="s">
        <v>153</v>
      </c>
      <c r="F29" s="222" t="s">
        <v>137</v>
      </c>
    </row>
    <row r="30" spans="2:6" x14ac:dyDescent="0.25">
      <c r="B30" s="266" t="s">
        <v>152</v>
      </c>
      <c r="C30" s="226">
        <v>4</v>
      </c>
      <c r="D30" s="227" t="s">
        <v>151</v>
      </c>
      <c r="E30" s="226">
        <v>297</v>
      </c>
      <c r="F30" s="226">
        <v>1188</v>
      </c>
    </row>
    <row r="31" spans="2:6" x14ac:dyDescent="0.25">
      <c r="B31" s="267"/>
      <c r="C31" s="224">
        <v>7</v>
      </c>
      <c r="D31" s="225" t="s">
        <v>150</v>
      </c>
      <c r="E31" s="224">
        <v>260</v>
      </c>
      <c r="F31" s="224">
        <v>1820</v>
      </c>
    </row>
    <row r="32" spans="2:6" x14ac:dyDescent="0.25">
      <c r="B32" s="267"/>
      <c r="C32" s="224">
        <v>7</v>
      </c>
      <c r="D32" s="225" t="s">
        <v>149</v>
      </c>
      <c r="E32" s="224">
        <v>295</v>
      </c>
      <c r="F32" s="224">
        <v>2065</v>
      </c>
    </row>
    <row r="33" spans="2:6" x14ac:dyDescent="0.25">
      <c r="B33" s="267"/>
      <c r="C33" s="224">
        <v>7</v>
      </c>
      <c r="D33" s="225" t="s">
        <v>148</v>
      </c>
      <c r="E33" s="224">
        <v>347</v>
      </c>
      <c r="F33" s="224">
        <v>2429</v>
      </c>
    </row>
    <row r="34" spans="2:6" x14ac:dyDescent="0.25">
      <c r="B34" s="267"/>
      <c r="C34" s="224">
        <v>4</v>
      </c>
      <c r="D34" s="225" t="s">
        <v>147</v>
      </c>
      <c r="E34" s="224">
        <v>257</v>
      </c>
      <c r="F34" s="224">
        <v>1028</v>
      </c>
    </row>
    <row r="35" spans="2:6" ht="15.75" thickBot="1" x14ac:dyDescent="0.3">
      <c r="B35" s="268"/>
      <c r="C35" s="99">
        <v>4</v>
      </c>
      <c r="D35" s="223" t="s">
        <v>146</v>
      </c>
      <c r="E35" s="99">
        <v>320</v>
      </c>
      <c r="F35" s="99">
        <v>1280</v>
      </c>
    </row>
    <row r="36" spans="2:6" x14ac:dyDescent="0.25">
      <c r="B36" s="266" t="s">
        <v>145</v>
      </c>
      <c r="C36" s="226">
        <v>9</v>
      </c>
      <c r="D36" s="227" t="s">
        <v>144</v>
      </c>
      <c r="E36" s="226">
        <v>87.7</v>
      </c>
      <c r="F36" s="226">
        <v>789.3</v>
      </c>
    </row>
    <row r="37" spans="2:6" x14ac:dyDescent="0.25">
      <c r="B37" s="267"/>
      <c r="C37" s="224">
        <v>9</v>
      </c>
      <c r="D37" s="225" t="s">
        <v>143</v>
      </c>
      <c r="E37" s="224">
        <v>106.9</v>
      </c>
      <c r="F37" s="224">
        <v>962.1</v>
      </c>
    </row>
    <row r="38" spans="2:6" x14ac:dyDescent="0.25">
      <c r="B38" s="267"/>
      <c r="C38" s="224">
        <v>9</v>
      </c>
      <c r="D38" s="225" t="s">
        <v>142</v>
      </c>
      <c r="E38" s="224">
        <v>113.3</v>
      </c>
      <c r="F38" s="224">
        <v>1019.7</v>
      </c>
    </row>
    <row r="39" spans="2:6" x14ac:dyDescent="0.25">
      <c r="B39" s="267"/>
      <c r="C39" s="224">
        <v>9</v>
      </c>
      <c r="D39" s="225" t="s">
        <v>141</v>
      </c>
      <c r="E39" s="224">
        <v>75</v>
      </c>
      <c r="F39" s="224">
        <v>675</v>
      </c>
    </row>
    <row r="40" spans="2:6" ht="15.75" thickBot="1" x14ac:dyDescent="0.3">
      <c r="B40" s="268"/>
      <c r="C40" s="99">
        <v>3</v>
      </c>
      <c r="D40" s="223" t="s">
        <v>140</v>
      </c>
      <c r="E40" s="99">
        <v>40</v>
      </c>
      <c r="F40" s="99">
        <v>120</v>
      </c>
    </row>
    <row r="41" spans="2:6" ht="15.75" thickBot="1" x14ac:dyDescent="0.3">
      <c r="B41" s="222" t="s">
        <v>139</v>
      </c>
      <c r="C41" s="136">
        <v>2</v>
      </c>
      <c r="D41" s="221" t="s">
        <v>138</v>
      </c>
      <c r="E41" s="136">
        <v>220</v>
      </c>
      <c r="F41" s="136">
        <v>440</v>
      </c>
    </row>
    <row r="42" spans="2:6" ht="15.75" thickBot="1" x14ac:dyDescent="0.3">
      <c r="B42" s="155"/>
      <c r="C42" s="155"/>
      <c r="D42" s="155"/>
      <c r="E42" s="220" t="s">
        <v>137</v>
      </c>
      <c r="F42" s="132">
        <f>SUM(F30:F41)</f>
        <v>13816.1</v>
      </c>
    </row>
    <row r="43" spans="2:6" x14ac:dyDescent="0.25">
      <c r="E43" s="155"/>
    </row>
  </sheetData>
  <mergeCells count="11">
    <mergeCell ref="B36:B40"/>
    <mergeCell ref="B14:F14"/>
    <mergeCell ref="C2:F2"/>
    <mergeCell ref="B3:F3"/>
    <mergeCell ref="B28:F28"/>
    <mergeCell ref="B12:D12"/>
    <mergeCell ref="B5:B8"/>
    <mergeCell ref="B9:B11"/>
    <mergeCell ref="B16:B19"/>
    <mergeCell ref="B20:B24"/>
    <mergeCell ref="B30:B35"/>
  </mergeCells>
  <pageMargins left="0.1" right="0.1" top="0.1" bottom="0.1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6"/>
  <sheetViews>
    <sheetView zoomScale="70" zoomScaleNormal="70" zoomScaleSheetLayoutView="40" workbookViewId="0">
      <selection activeCell="F35" sqref="F35"/>
    </sheetView>
  </sheetViews>
  <sheetFormatPr defaultColWidth="9.140625" defaultRowHeight="15" x14ac:dyDescent="0.25"/>
  <cols>
    <col min="1" max="1" width="4.140625" style="4" customWidth="1"/>
    <col min="2" max="2" width="25.7109375" style="4" customWidth="1"/>
    <col min="3" max="4" width="3.5703125" style="4" customWidth="1"/>
    <col min="5" max="5" width="3.7109375" style="4" customWidth="1"/>
    <col min="6" max="10" width="3.5703125" style="4" customWidth="1"/>
    <col min="11" max="11" width="3.42578125" style="4" customWidth="1"/>
    <col min="12" max="12" width="9.28515625" style="4" bestFit="1" customWidth="1"/>
    <col min="13" max="13" width="6" style="4" customWidth="1"/>
    <col min="14" max="14" width="7.7109375" style="4" bestFit="1" customWidth="1"/>
    <col min="15" max="15" width="3.85546875" style="116" customWidth="1"/>
    <col min="16" max="16" width="3.42578125" style="4" customWidth="1"/>
    <col min="17" max="17" width="14.5703125" style="4" bestFit="1" customWidth="1"/>
    <col min="18" max="18" width="9.28515625" style="4" bestFit="1" customWidth="1"/>
    <col min="19" max="19" width="20.7109375" style="4" bestFit="1" customWidth="1"/>
    <col min="20" max="29" width="3.5703125" style="4" customWidth="1"/>
    <col min="30" max="30" width="9" style="4" customWidth="1"/>
    <col min="31" max="31" width="13.28515625" style="4" bestFit="1" customWidth="1"/>
    <col min="32" max="33" width="9.140625" style="4"/>
    <col min="34" max="34" width="33.5703125" style="4" bestFit="1" customWidth="1"/>
    <col min="35" max="35" width="11.7109375" style="4" bestFit="1" customWidth="1"/>
    <col min="36" max="16384" width="9.140625" style="4"/>
  </cols>
  <sheetData>
    <row r="1" spans="2:41" ht="15.75" thickBot="1" x14ac:dyDescent="0.3"/>
    <row r="2" spans="2:41" ht="15" customHeight="1" thickBot="1" x14ac:dyDescent="0.3">
      <c r="B2" s="288" t="s">
        <v>42</v>
      </c>
      <c r="C2" s="289"/>
      <c r="D2" s="289"/>
      <c r="E2" s="289"/>
      <c r="F2" s="289"/>
      <c r="G2" s="289"/>
      <c r="H2" s="289"/>
      <c r="I2" s="289"/>
      <c r="J2" s="290"/>
      <c r="L2" s="311" t="s">
        <v>41</v>
      </c>
      <c r="M2" s="341" t="s">
        <v>0</v>
      </c>
      <c r="N2" s="341" t="s">
        <v>14</v>
      </c>
      <c r="O2" s="75"/>
      <c r="Q2" s="288" t="s">
        <v>33</v>
      </c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90"/>
      <c r="AH2" s="335">
        <v>2013</v>
      </c>
      <c r="AI2" s="336"/>
      <c r="AJ2" s="33"/>
      <c r="AK2" s="33"/>
      <c r="AL2" s="33"/>
      <c r="AM2" s="33"/>
      <c r="AN2" s="33"/>
      <c r="AO2" s="33"/>
    </row>
    <row r="3" spans="2:41" ht="15.75" thickBot="1" x14ac:dyDescent="0.3">
      <c r="B3" s="291"/>
      <c r="C3" s="292"/>
      <c r="D3" s="292"/>
      <c r="E3" s="292"/>
      <c r="F3" s="292"/>
      <c r="G3" s="292"/>
      <c r="H3" s="292"/>
      <c r="I3" s="292"/>
      <c r="J3" s="293"/>
      <c r="L3" s="325"/>
      <c r="M3" s="325"/>
      <c r="N3" s="325"/>
      <c r="O3" s="75"/>
      <c r="Q3" s="291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3"/>
      <c r="AH3" s="87" t="s">
        <v>15</v>
      </c>
      <c r="AI3" s="91" t="s">
        <v>83</v>
      </c>
      <c r="AJ3" s="33"/>
      <c r="AK3" s="33"/>
      <c r="AL3" s="33"/>
      <c r="AM3" s="33"/>
      <c r="AN3" s="33"/>
      <c r="AO3" s="33"/>
    </row>
    <row r="4" spans="2:41" ht="15.75" thickBot="1" x14ac:dyDescent="0.3">
      <c r="B4" s="294"/>
      <c r="C4" s="295"/>
      <c r="D4" s="295"/>
      <c r="E4" s="295"/>
      <c r="F4" s="295"/>
      <c r="G4" s="295"/>
      <c r="H4" s="295"/>
      <c r="I4" s="295"/>
      <c r="J4" s="296"/>
      <c r="L4" s="342"/>
      <c r="M4" s="343"/>
      <c r="N4" s="336"/>
      <c r="O4" s="75"/>
      <c r="Q4" s="291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3"/>
      <c r="AH4" s="88" t="s">
        <v>44</v>
      </c>
      <c r="AI4" s="92">
        <f>-600</f>
        <v>-600</v>
      </c>
      <c r="AJ4" s="85"/>
      <c r="AK4" s="33"/>
      <c r="AL4" s="33"/>
      <c r="AM4" s="33"/>
      <c r="AN4" s="33"/>
      <c r="AO4" s="33"/>
    </row>
    <row r="5" spans="2:41" ht="15.75" thickBot="1" x14ac:dyDescent="0.3">
      <c r="B5" s="32" t="s">
        <v>44</v>
      </c>
      <c r="C5" s="5" t="s">
        <v>6</v>
      </c>
      <c r="D5" s="6" t="s">
        <v>7</v>
      </c>
      <c r="E5" s="7" t="s">
        <v>6</v>
      </c>
      <c r="F5" s="7" t="s">
        <v>9</v>
      </c>
      <c r="G5" s="7" t="s">
        <v>6</v>
      </c>
      <c r="H5" s="7" t="s">
        <v>6</v>
      </c>
      <c r="I5" s="7" t="s">
        <v>6</v>
      </c>
      <c r="J5" s="7" t="s">
        <v>6</v>
      </c>
      <c r="L5" s="35" t="s">
        <v>6</v>
      </c>
      <c r="M5" s="15">
        <v>6</v>
      </c>
      <c r="N5" s="41">
        <f t="shared" ref="N5:N12" si="0">M5*100/T_KLM</f>
        <v>16.666666666666668</v>
      </c>
      <c r="O5" s="130"/>
      <c r="Q5" s="294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6"/>
      <c r="AH5" s="89" t="s">
        <v>2</v>
      </c>
      <c r="AI5" s="93"/>
      <c r="AJ5" s="85"/>
      <c r="AK5" s="85"/>
      <c r="AL5" s="33"/>
      <c r="AM5" s="33"/>
      <c r="AN5" s="33"/>
      <c r="AO5" s="33"/>
    </row>
    <row r="6" spans="2:41" ht="15.75" thickBot="1" x14ac:dyDescent="0.3">
      <c r="B6" s="344" t="s">
        <v>16</v>
      </c>
      <c r="C6" s="345"/>
      <c r="D6" s="1" t="s">
        <v>7</v>
      </c>
      <c r="E6" s="3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L6" s="29" t="s">
        <v>7</v>
      </c>
      <c r="M6" s="17">
        <v>8</v>
      </c>
      <c r="N6" s="68">
        <f t="shared" si="0"/>
        <v>22.222222222222221</v>
      </c>
      <c r="O6" s="130"/>
      <c r="Q6" s="328" t="s">
        <v>15</v>
      </c>
      <c r="R6" s="311" t="s">
        <v>31</v>
      </c>
      <c r="S6" s="329" t="s">
        <v>32</v>
      </c>
      <c r="T6" s="307" t="s">
        <v>18</v>
      </c>
      <c r="U6" s="303"/>
      <c r="V6" s="303"/>
      <c r="W6" s="303"/>
      <c r="X6" s="303"/>
      <c r="Y6" s="303"/>
      <c r="Z6" s="303"/>
      <c r="AA6" s="303"/>
      <c r="AB6" s="303"/>
      <c r="AC6" s="331"/>
      <c r="AD6" s="334" t="s">
        <v>79</v>
      </c>
      <c r="AE6" s="332" t="s">
        <v>23</v>
      </c>
      <c r="AH6" s="89" t="s">
        <v>4</v>
      </c>
      <c r="AI6" s="93">
        <f>-(135-29)</f>
        <v>-106</v>
      </c>
      <c r="AJ6" s="85"/>
      <c r="AK6" s="85"/>
      <c r="AL6" s="85"/>
      <c r="AM6" s="33"/>
      <c r="AN6" s="33"/>
      <c r="AO6" s="33"/>
    </row>
    <row r="7" spans="2:41" ht="15.75" thickBot="1" x14ac:dyDescent="0.3">
      <c r="B7" s="346" t="s">
        <v>2</v>
      </c>
      <c r="C7" s="347"/>
      <c r="D7" s="348"/>
      <c r="E7" s="1" t="s">
        <v>8</v>
      </c>
      <c r="F7" s="3" t="s">
        <v>8</v>
      </c>
      <c r="G7" s="2" t="s">
        <v>8</v>
      </c>
      <c r="H7" s="2" t="s">
        <v>8</v>
      </c>
      <c r="I7" s="2" t="s">
        <v>12</v>
      </c>
      <c r="J7" s="2" t="s">
        <v>8</v>
      </c>
      <c r="L7" s="29" t="s">
        <v>8</v>
      </c>
      <c r="M7" s="17">
        <v>5</v>
      </c>
      <c r="N7" s="68">
        <f t="shared" si="0"/>
        <v>13.888888888888889</v>
      </c>
      <c r="O7" s="130"/>
      <c r="Q7" s="315"/>
      <c r="R7" s="325"/>
      <c r="S7" s="330"/>
      <c r="T7" s="26">
        <v>1</v>
      </c>
      <c r="U7" s="12">
        <v>2</v>
      </c>
      <c r="V7" s="12">
        <v>3</v>
      </c>
      <c r="W7" s="12">
        <v>4</v>
      </c>
      <c r="X7" s="12">
        <v>5</v>
      </c>
      <c r="Y7" s="12">
        <v>6</v>
      </c>
      <c r="Z7" s="12">
        <v>7</v>
      </c>
      <c r="AA7" s="12">
        <v>8</v>
      </c>
      <c r="AB7" s="12">
        <v>9</v>
      </c>
      <c r="AC7" s="13">
        <v>10</v>
      </c>
      <c r="AD7" s="318"/>
      <c r="AE7" s="333"/>
      <c r="AH7" s="89" t="s">
        <v>40</v>
      </c>
      <c r="AI7" s="93">
        <v>-5.0000000000000001E-3</v>
      </c>
      <c r="AJ7" s="85"/>
      <c r="AK7" s="85"/>
      <c r="AL7" s="85"/>
      <c r="AM7" s="85"/>
      <c r="AN7" s="33"/>
      <c r="AO7" s="33"/>
    </row>
    <row r="8" spans="2:41" ht="15.75" thickBot="1" x14ac:dyDescent="0.3">
      <c r="B8" s="344" t="s">
        <v>4</v>
      </c>
      <c r="C8" s="349"/>
      <c r="D8" s="349"/>
      <c r="E8" s="345"/>
      <c r="F8" s="1" t="s">
        <v>9</v>
      </c>
      <c r="G8" s="3" t="s">
        <v>9</v>
      </c>
      <c r="H8" s="2" t="s">
        <v>11</v>
      </c>
      <c r="I8" s="2" t="s">
        <v>9</v>
      </c>
      <c r="J8" s="2" t="s">
        <v>9</v>
      </c>
      <c r="L8" s="36" t="s">
        <v>9</v>
      </c>
      <c r="M8" s="17">
        <v>5</v>
      </c>
      <c r="N8" s="68">
        <f t="shared" si="0"/>
        <v>13.888888888888889</v>
      </c>
      <c r="O8" s="130"/>
      <c r="Q8" s="313" t="s">
        <v>24</v>
      </c>
      <c r="R8" s="326">
        <f>N5</f>
        <v>16.666666666666668</v>
      </c>
      <c r="S8" s="20" t="s">
        <v>19</v>
      </c>
      <c r="T8" s="47"/>
      <c r="U8" s="48"/>
      <c r="V8" s="48"/>
      <c r="W8" s="48"/>
      <c r="X8" s="48"/>
      <c r="Y8" s="48"/>
      <c r="Z8" s="66"/>
      <c r="AA8" s="66"/>
      <c r="AB8" s="9"/>
      <c r="AC8" s="14"/>
      <c r="AD8" s="23">
        <v>6</v>
      </c>
      <c r="AE8" s="70">
        <f>AD8*R8</f>
        <v>100</v>
      </c>
      <c r="AH8" s="89" t="s">
        <v>27</v>
      </c>
      <c r="AI8" s="93">
        <v>-206</v>
      </c>
      <c r="AJ8" s="85"/>
      <c r="AK8" s="85"/>
      <c r="AL8" s="85"/>
      <c r="AM8" s="85"/>
      <c r="AN8" s="85"/>
      <c r="AO8" s="33"/>
    </row>
    <row r="9" spans="2:41" ht="15.75" thickBot="1" x14ac:dyDescent="0.3">
      <c r="B9" s="344" t="s">
        <v>40</v>
      </c>
      <c r="C9" s="349"/>
      <c r="D9" s="349"/>
      <c r="E9" s="349"/>
      <c r="F9" s="345"/>
      <c r="G9" s="1" t="s">
        <v>10</v>
      </c>
      <c r="H9" s="3" t="s">
        <v>11</v>
      </c>
      <c r="I9" s="2" t="s">
        <v>12</v>
      </c>
      <c r="J9" s="2" t="s">
        <v>13</v>
      </c>
      <c r="L9" s="29" t="s">
        <v>10</v>
      </c>
      <c r="M9" s="17">
        <v>1</v>
      </c>
      <c r="N9" s="68">
        <f t="shared" si="0"/>
        <v>2.7777777777777777</v>
      </c>
      <c r="O9" s="130"/>
      <c r="Q9" s="314"/>
      <c r="R9" s="327"/>
      <c r="S9" s="21" t="s">
        <v>20</v>
      </c>
      <c r="T9" s="45"/>
      <c r="U9" s="46"/>
      <c r="V9" s="46"/>
      <c r="W9" s="53"/>
      <c r="X9" s="46"/>
      <c r="Y9" s="56"/>
      <c r="Z9" s="46"/>
      <c r="AA9" s="62"/>
      <c r="AB9" s="62"/>
      <c r="AC9" s="63"/>
      <c r="AD9" s="76">
        <v>7</v>
      </c>
      <c r="AE9" s="71">
        <f>AD9*R8</f>
        <v>116.66666666666667</v>
      </c>
      <c r="AH9" s="89" t="s">
        <v>39</v>
      </c>
      <c r="AI9" s="93">
        <v>-17.37</v>
      </c>
      <c r="AJ9" s="85"/>
      <c r="AK9" s="85"/>
      <c r="AL9" s="85"/>
      <c r="AM9" s="85"/>
      <c r="AN9" s="85"/>
      <c r="AO9" s="85"/>
    </row>
    <row r="10" spans="2:41" ht="15.75" thickBot="1" x14ac:dyDescent="0.3">
      <c r="B10" s="339" t="s">
        <v>27</v>
      </c>
      <c r="C10" s="340"/>
      <c r="D10" s="340"/>
      <c r="E10" s="340"/>
      <c r="F10" s="340"/>
      <c r="G10" s="340"/>
      <c r="H10" s="1" t="s">
        <v>11</v>
      </c>
      <c r="I10" s="3" t="s">
        <v>12</v>
      </c>
      <c r="J10" s="2" t="s">
        <v>13</v>
      </c>
      <c r="L10" s="29" t="s">
        <v>11</v>
      </c>
      <c r="M10" s="17">
        <v>3</v>
      </c>
      <c r="N10" s="68">
        <f t="shared" si="0"/>
        <v>8.3333333333333339</v>
      </c>
      <c r="O10" s="130"/>
      <c r="Q10" s="314"/>
      <c r="R10" s="327"/>
      <c r="S10" s="21" t="s">
        <v>21</v>
      </c>
      <c r="T10" s="49"/>
      <c r="U10" s="50"/>
      <c r="V10" s="50"/>
      <c r="W10" s="54"/>
      <c r="X10" s="50"/>
      <c r="Y10" s="57"/>
      <c r="Z10" s="50"/>
      <c r="AA10" s="50"/>
      <c r="AB10" s="62"/>
      <c r="AC10" s="63"/>
      <c r="AD10" s="76">
        <v>8</v>
      </c>
      <c r="AE10" s="71">
        <f>AD10*R8</f>
        <v>133.33333333333334</v>
      </c>
      <c r="AH10" s="90" t="s">
        <v>47</v>
      </c>
      <c r="AI10" s="94">
        <v>-3.0000000000000001E-3</v>
      </c>
    </row>
    <row r="11" spans="2:41" ht="15.75" thickBot="1" x14ac:dyDescent="0.3">
      <c r="B11" s="339" t="s">
        <v>39</v>
      </c>
      <c r="C11" s="340"/>
      <c r="D11" s="340"/>
      <c r="E11" s="340"/>
      <c r="F11" s="340"/>
      <c r="G11" s="340"/>
      <c r="H11" s="340"/>
      <c r="I11" s="1" t="s">
        <v>12</v>
      </c>
      <c r="J11" s="3" t="s">
        <v>12</v>
      </c>
      <c r="L11" s="36" t="s">
        <v>12</v>
      </c>
      <c r="M11" s="17">
        <v>5</v>
      </c>
      <c r="N11" s="68">
        <f t="shared" si="0"/>
        <v>13.888888888888889</v>
      </c>
      <c r="O11" s="130"/>
      <c r="Q11" s="315"/>
      <c r="R11" s="325"/>
      <c r="S11" s="22" t="s">
        <v>22</v>
      </c>
      <c r="T11" s="51"/>
      <c r="U11" s="52"/>
      <c r="V11" s="52"/>
      <c r="W11" s="55"/>
      <c r="X11" s="52"/>
      <c r="Y11" s="58"/>
      <c r="Z11" s="52"/>
      <c r="AA11" s="52"/>
      <c r="AB11" s="52"/>
      <c r="AC11" s="65"/>
      <c r="AD11" s="77">
        <v>9</v>
      </c>
      <c r="AE11" s="81">
        <f>AD11*R8</f>
        <v>150</v>
      </c>
      <c r="AH11" s="337"/>
      <c r="AI11" s="338"/>
    </row>
    <row r="12" spans="2:41" ht="15.75" thickBot="1" x14ac:dyDescent="0.3">
      <c r="B12" s="339" t="s">
        <v>47</v>
      </c>
      <c r="C12" s="340"/>
      <c r="D12" s="340"/>
      <c r="E12" s="340"/>
      <c r="F12" s="340"/>
      <c r="G12" s="340"/>
      <c r="H12" s="340"/>
      <c r="I12" s="340"/>
      <c r="J12" s="1" t="s">
        <v>13</v>
      </c>
      <c r="L12" s="30" t="s">
        <v>13</v>
      </c>
      <c r="M12" s="16">
        <v>3</v>
      </c>
      <c r="N12" s="82">
        <f t="shared" si="0"/>
        <v>8.3333333333333339</v>
      </c>
      <c r="O12" s="130"/>
      <c r="Q12" s="328" t="s">
        <v>16</v>
      </c>
      <c r="R12" s="316">
        <f>N6</f>
        <v>22.222222222222221</v>
      </c>
      <c r="S12" s="20" t="s">
        <v>19</v>
      </c>
      <c r="T12" s="47"/>
      <c r="U12" s="48"/>
      <c r="V12" s="48"/>
      <c r="W12" s="48"/>
      <c r="X12" s="48"/>
      <c r="Y12" s="48"/>
      <c r="Z12" s="48"/>
      <c r="AA12" s="48"/>
      <c r="AB12" s="9"/>
      <c r="AC12" s="14"/>
      <c r="AD12" s="23">
        <v>8</v>
      </c>
      <c r="AE12" s="70">
        <f>AD12*R12</f>
        <v>177.77777777777777</v>
      </c>
      <c r="AH12" s="87" t="s">
        <v>0</v>
      </c>
      <c r="AI12" s="95">
        <f>SUM(AI4:AI10)</f>
        <v>-929.37800000000004</v>
      </c>
    </row>
    <row r="13" spans="2:41" x14ac:dyDescent="0.25">
      <c r="Q13" s="314"/>
      <c r="R13" s="317"/>
      <c r="S13" s="21" t="s">
        <v>20</v>
      </c>
      <c r="T13" s="45"/>
      <c r="U13" s="46"/>
      <c r="V13" s="46"/>
      <c r="W13" s="53"/>
      <c r="X13" s="46"/>
      <c r="Y13" s="56"/>
      <c r="Z13" s="46"/>
      <c r="AA13" s="46"/>
      <c r="AB13" s="46"/>
      <c r="AC13" s="31"/>
      <c r="AD13" s="24">
        <v>9</v>
      </c>
      <c r="AE13" s="71">
        <f>AD13*R12</f>
        <v>200</v>
      </c>
    </row>
    <row r="14" spans="2:41" x14ac:dyDescent="0.25">
      <c r="L14" s="4" t="s">
        <v>0</v>
      </c>
      <c r="M14" s="4">
        <f>SUM(M5:M12)</f>
        <v>36</v>
      </c>
      <c r="N14" s="4">
        <f>SUM(N5:N12)</f>
        <v>99.999999999999972</v>
      </c>
      <c r="Q14" s="314"/>
      <c r="R14" s="317"/>
      <c r="S14" s="21" t="s">
        <v>21</v>
      </c>
      <c r="T14" s="49"/>
      <c r="U14" s="50"/>
      <c r="V14" s="50"/>
      <c r="W14" s="54"/>
      <c r="X14" s="50"/>
      <c r="Y14" s="57"/>
      <c r="Z14" s="50"/>
      <c r="AA14" s="50"/>
      <c r="AB14" s="50"/>
      <c r="AC14" s="59"/>
      <c r="AD14" s="76">
        <v>10</v>
      </c>
      <c r="AE14" s="71">
        <f>AD14*R12</f>
        <v>222.22222222222223</v>
      </c>
    </row>
    <row r="15" spans="2:41" ht="15.75" thickBot="1" x14ac:dyDescent="0.3">
      <c r="Q15" s="315"/>
      <c r="R15" s="318"/>
      <c r="S15" s="22" t="s">
        <v>22</v>
      </c>
      <c r="T15" s="51"/>
      <c r="U15" s="52"/>
      <c r="V15" s="52"/>
      <c r="W15" s="55"/>
      <c r="X15" s="52"/>
      <c r="Y15" s="58"/>
      <c r="Z15" s="52"/>
      <c r="AA15" s="52"/>
      <c r="AB15" s="52"/>
      <c r="AC15" s="60"/>
      <c r="AD15" s="77">
        <v>10</v>
      </c>
      <c r="AE15" s="81">
        <f>AD15*R12</f>
        <v>222.22222222222223</v>
      </c>
    </row>
    <row r="16" spans="2:41" x14ac:dyDescent="0.25">
      <c r="Q16" s="328" t="s">
        <v>2</v>
      </c>
      <c r="R16" s="316">
        <f>N7</f>
        <v>13.888888888888889</v>
      </c>
      <c r="S16" s="20" t="s">
        <v>19</v>
      </c>
      <c r="T16" s="43"/>
      <c r="U16" s="44"/>
      <c r="V16" s="44"/>
      <c r="W16" s="44"/>
      <c r="X16" s="44"/>
      <c r="Y16" s="9"/>
      <c r="Z16" s="9"/>
      <c r="AA16" s="9"/>
      <c r="AB16" s="9"/>
      <c r="AC16" s="10"/>
      <c r="AD16" s="23">
        <v>5</v>
      </c>
      <c r="AE16" s="70">
        <f>AD16*R16</f>
        <v>69.444444444444443</v>
      </c>
    </row>
    <row r="17" spans="17:31" x14ac:dyDescent="0.25">
      <c r="Q17" s="314"/>
      <c r="R17" s="317"/>
      <c r="S17" s="21" t="s">
        <v>20</v>
      </c>
      <c r="T17" s="45"/>
      <c r="U17" s="46"/>
      <c r="V17" s="46"/>
      <c r="W17" s="46"/>
      <c r="X17" s="46"/>
      <c r="Y17" s="46"/>
      <c r="Z17" s="8"/>
      <c r="AA17" s="8"/>
      <c r="AB17" s="8"/>
      <c r="AC17" s="11"/>
      <c r="AD17" s="24">
        <v>6</v>
      </c>
      <c r="AE17" s="71">
        <f>AD17*R16</f>
        <v>83.333333333333343</v>
      </c>
    </row>
    <row r="18" spans="17:31" x14ac:dyDescent="0.25">
      <c r="Q18" s="314"/>
      <c r="R18" s="317"/>
      <c r="S18" s="21" t="s">
        <v>21</v>
      </c>
      <c r="T18" s="49"/>
      <c r="U18" s="50"/>
      <c r="V18" s="50"/>
      <c r="W18" s="50"/>
      <c r="X18" s="50"/>
      <c r="Y18" s="50"/>
      <c r="Z18" s="8"/>
      <c r="AA18" s="8"/>
      <c r="AB18" s="8"/>
      <c r="AC18" s="11"/>
      <c r="AD18" s="24">
        <v>6</v>
      </c>
      <c r="AE18" s="71">
        <f>AD18*R16</f>
        <v>83.333333333333343</v>
      </c>
    </row>
    <row r="19" spans="17:31" ht="15.75" thickBot="1" x14ac:dyDescent="0.3">
      <c r="Q19" s="315"/>
      <c r="R19" s="318"/>
      <c r="S19" s="22" t="s">
        <v>22</v>
      </c>
      <c r="T19" s="51"/>
      <c r="U19" s="52"/>
      <c r="V19" s="52"/>
      <c r="W19" s="52"/>
      <c r="X19" s="52"/>
      <c r="Y19" s="52"/>
      <c r="Z19" s="52"/>
      <c r="AA19" s="12"/>
      <c r="AB19" s="12"/>
      <c r="AC19" s="13"/>
      <c r="AD19" s="25">
        <v>7</v>
      </c>
      <c r="AE19" s="81">
        <f>AD19*R16</f>
        <v>97.222222222222229</v>
      </c>
    </row>
    <row r="20" spans="17:31" x14ac:dyDescent="0.25">
      <c r="Q20" s="313" t="s">
        <v>25</v>
      </c>
      <c r="R20" s="316">
        <f>N8</f>
        <v>13.888888888888889</v>
      </c>
      <c r="S20" s="20" t="s">
        <v>19</v>
      </c>
      <c r="T20" s="43"/>
      <c r="U20" s="44"/>
      <c r="V20" s="44"/>
      <c r="W20" s="44"/>
      <c r="X20" s="44"/>
      <c r="Y20" s="44"/>
      <c r="Z20" s="44"/>
      <c r="AA20" s="44"/>
      <c r="AB20" s="61"/>
      <c r="AC20" s="10"/>
      <c r="AD20" s="23">
        <v>8</v>
      </c>
      <c r="AE20" s="70">
        <f>AD20*R20</f>
        <v>111.11111111111111</v>
      </c>
    </row>
    <row r="21" spans="17:31" x14ac:dyDescent="0.25">
      <c r="Q21" s="314"/>
      <c r="R21" s="317"/>
      <c r="S21" s="21" t="s">
        <v>20</v>
      </c>
      <c r="T21" s="45"/>
      <c r="U21" s="46"/>
      <c r="V21" s="46"/>
      <c r="W21" s="46"/>
      <c r="X21" s="46"/>
      <c r="Y21" s="46"/>
      <c r="Z21" s="46"/>
      <c r="AA21" s="46"/>
      <c r="AB21" s="46"/>
      <c r="AC21" s="11"/>
      <c r="AD21" s="24">
        <v>9</v>
      </c>
      <c r="AE21" s="71">
        <f>AD21*R20</f>
        <v>125</v>
      </c>
    </row>
    <row r="22" spans="17:31" x14ac:dyDescent="0.25">
      <c r="Q22" s="314"/>
      <c r="R22" s="317"/>
      <c r="S22" s="21" t="s">
        <v>21</v>
      </c>
      <c r="T22" s="49"/>
      <c r="U22" s="50"/>
      <c r="V22" s="50"/>
      <c r="W22" s="50"/>
      <c r="X22" s="50"/>
      <c r="Y22" s="50"/>
      <c r="Z22" s="50"/>
      <c r="AA22" s="50"/>
      <c r="AB22" s="50"/>
      <c r="AC22" s="11"/>
      <c r="AD22" s="24">
        <v>9</v>
      </c>
      <c r="AE22" s="71">
        <f>AD22*R20</f>
        <v>125</v>
      </c>
    </row>
    <row r="23" spans="17:31" ht="15.75" thickBot="1" x14ac:dyDescent="0.3">
      <c r="Q23" s="315"/>
      <c r="R23" s="318"/>
      <c r="S23" s="22" t="s">
        <v>22</v>
      </c>
      <c r="T23" s="51"/>
      <c r="U23" s="52"/>
      <c r="V23" s="52"/>
      <c r="W23" s="52"/>
      <c r="X23" s="52"/>
      <c r="Y23" s="52"/>
      <c r="Z23" s="52"/>
      <c r="AA23" s="52"/>
      <c r="AB23" s="52"/>
      <c r="AC23" s="13"/>
      <c r="AD23" s="25">
        <v>9</v>
      </c>
      <c r="AE23" s="81">
        <f>AD23*R20</f>
        <v>125</v>
      </c>
    </row>
    <row r="24" spans="17:31" x14ac:dyDescent="0.25">
      <c r="Q24" s="313" t="s">
        <v>26</v>
      </c>
      <c r="R24" s="316">
        <f>N9</f>
        <v>2.7777777777777777</v>
      </c>
      <c r="S24" s="20" t="s">
        <v>19</v>
      </c>
      <c r="T24" s="43"/>
      <c r="U24" s="44"/>
      <c r="V24" s="61"/>
      <c r="W24" s="61"/>
      <c r="X24" s="61"/>
      <c r="Y24" s="9"/>
      <c r="Z24" s="9"/>
      <c r="AA24" s="9"/>
      <c r="AB24" s="9"/>
      <c r="AC24" s="10"/>
      <c r="AD24" s="23">
        <v>2</v>
      </c>
      <c r="AE24" s="70">
        <f>AD24*R24</f>
        <v>5.5555555555555554</v>
      </c>
    </row>
    <row r="25" spans="17:31" x14ac:dyDescent="0.25">
      <c r="Q25" s="314"/>
      <c r="R25" s="317"/>
      <c r="S25" s="21" t="s">
        <v>20</v>
      </c>
      <c r="T25" s="45"/>
      <c r="U25" s="46"/>
      <c r="V25" s="46"/>
      <c r="W25" s="62"/>
      <c r="X25" s="8"/>
      <c r="Y25" s="8"/>
      <c r="Z25" s="8"/>
      <c r="AA25" s="8"/>
      <c r="AB25" s="8"/>
      <c r="AC25" s="11"/>
      <c r="AD25" s="24">
        <v>3</v>
      </c>
      <c r="AE25" s="71">
        <f>AD25*R24</f>
        <v>8.3333333333333321</v>
      </c>
    </row>
    <row r="26" spans="17:31" x14ac:dyDescent="0.25">
      <c r="Q26" s="314"/>
      <c r="R26" s="317"/>
      <c r="S26" s="21" t="s">
        <v>21</v>
      </c>
      <c r="T26" s="49"/>
      <c r="U26" s="50"/>
      <c r="V26" s="50"/>
      <c r="W26" s="50"/>
      <c r="X26" s="8"/>
      <c r="Y26" s="8"/>
      <c r="Z26" s="8"/>
      <c r="AA26" s="8"/>
      <c r="AB26" s="8"/>
      <c r="AC26" s="11"/>
      <c r="AD26" s="24">
        <v>4</v>
      </c>
      <c r="AE26" s="71">
        <f>AD26*R24</f>
        <v>11.111111111111111</v>
      </c>
    </row>
    <row r="27" spans="17:31" ht="15.75" thickBot="1" x14ac:dyDescent="0.3">
      <c r="Q27" s="315"/>
      <c r="R27" s="318"/>
      <c r="S27" s="22" t="s">
        <v>22</v>
      </c>
      <c r="T27" s="51"/>
      <c r="U27" s="52"/>
      <c r="V27" s="52"/>
      <c r="W27" s="52"/>
      <c r="X27" s="12"/>
      <c r="Y27" s="12"/>
      <c r="Z27" s="12"/>
      <c r="AA27" s="12"/>
      <c r="AB27" s="12"/>
      <c r="AC27" s="13"/>
      <c r="AD27" s="25">
        <v>4</v>
      </c>
      <c r="AE27" s="81">
        <f>AD27*R24</f>
        <v>11.111111111111111</v>
      </c>
    </row>
    <row r="28" spans="17:31" x14ac:dyDescent="0.25">
      <c r="Q28" s="313" t="s">
        <v>28</v>
      </c>
      <c r="R28" s="316">
        <f>N10</f>
        <v>8.3333333333333339</v>
      </c>
      <c r="S28" s="20" t="s">
        <v>19</v>
      </c>
      <c r="T28" s="43"/>
      <c r="U28" s="44"/>
      <c r="V28" s="44"/>
      <c r="W28" s="44"/>
      <c r="X28" s="44"/>
      <c r="Y28" s="44"/>
      <c r="Z28" s="9"/>
      <c r="AA28" s="9"/>
      <c r="AB28" s="9"/>
      <c r="AC28" s="10"/>
      <c r="AD28" s="23">
        <v>6</v>
      </c>
      <c r="AE28" s="70">
        <f>AD28*R28</f>
        <v>50</v>
      </c>
    </row>
    <row r="29" spans="17:31" x14ac:dyDescent="0.25">
      <c r="Q29" s="314"/>
      <c r="R29" s="317"/>
      <c r="S29" s="21" t="s">
        <v>20</v>
      </c>
      <c r="T29" s="45"/>
      <c r="U29" s="46"/>
      <c r="V29" s="46"/>
      <c r="W29" s="46"/>
      <c r="X29" s="46"/>
      <c r="Y29" s="46"/>
      <c r="Z29" s="46"/>
      <c r="AA29" s="8"/>
      <c r="AB29" s="8"/>
      <c r="AC29" s="11"/>
      <c r="AD29" s="24">
        <v>7</v>
      </c>
      <c r="AE29" s="71">
        <f>AD29*R28</f>
        <v>58.333333333333336</v>
      </c>
    </row>
    <row r="30" spans="17:31" x14ac:dyDescent="0.25">
      <c r="Q30" s="314"/>
      <c r="R30" s="317"/>
      <c r="S30" s="21" t="s">
        <v>21</v>
      </c>
      <c r="T30" s="49"/>
      <c r="U30" s="50"/>
      <c r="V30" s="50"/>
      <c r="W30" s="50"/>
      <c r="X30" s="50"/>
      <c r="Y30" s="50"/>
      <c r="Z30" s="50"/>
      <c r="AA30" s="50"/>
      <c r="AB30" s="8"/>
      <c r="AC30" s="11"/>
      <c r="AD30" s="24">
        <v>8</v>
      </c>
      <c r="AE30" s="71">
        <f>AD30*R28</f>
        <v>66.666666666666671</v>
      </c>
    </row>
    <row r="31" spans="17:31" ht="15.75" thickBot="1" x14ac:dyDescent="0.3">
      <c r="Q31" s="315"/>
      <c r="R31" s="318"/>
      <c r="S31" s="22" t="s">
        <v>22</v>
      </c>
      <c r="T31" s="51"/>
      <c r="U31" s="52"/>
      <c r="V31" s="52"/>
      <c r="W31" s="52"/>
      <c r="X31" s="52"/>
      <c r="Y31" s="52"/>
      <c r="Z31" s="52"/>
      <c r="AA31" s="52"/>
      <c r="AB31" s="52"/>
      <c r="AC31" s="13"/>
      <c r="AD31" s="25">
        <v>9</v>
      </c>
      <c r="AE31" s="81">
        <f>AD31*R28</f>
        <v>75</v>
      </c>
    </row>
    <row r="32" spans="17:31" x14ac:dyDescent="0.25">
      <c r="Q32" s="313" t="s">
        <v>29</v>
      </c>
      <c r="R32" s="316">
        <f>N11</f>
        <v>13.888888888888889</v>
      </c>
      <c r="S32" s="20" t="s">
        <v>19</v>
      </c>
      <c r="T32" s="43"/>
      <c r="U32" s="44"/>
      <c r="V32" s="44"/>
      <c r="W32" s="44"/>
      <c r="X32" s="44"/>
      <c r="Y32" s="44"/>
      <c r="Z32" s="44"/>
      <c r="AA32" s="44"/>
      <c r="AB32" s="44"/>
      <c r="AC32" s="10"/>
      <c r="AD32" s="23">
        <v>9</v>
      </c>
      <c r="AE32" s="70">
        <f>AD32*R32</f>
        <v>125</v>
      </c>
    </row>
    <row r="33" spans="17:31" x14ac:dyDescent="0.25">
      <c r="Q33" s="314"/>
      <c r="R33" s="317"/>
      <c r="S33" s="21" t="s">
        <v>20</v>
      </c>
      <c r="T33" s="45"/>
      <c r="U33" s="46"/>
      <c r="V33" s="46"/>
      <c r="W33" s="46"/>
      <c r="X33" s="46"/>
      <c r="Y33" s="46"/>
      <c r="Z33" s="46"/>
      <c r="AA33" s="46"/>
      <c r="AB33" s="46"/>
      <c r="AC33" s="11"/>
      <c r="AD33" s="24">
        <v>9</v>
      </c>
      <c r="AE33" s="71">
        <f>AD33*R32</f>
        <v>125</v>
      </c>
    </row>
    <row r="34" spans="17:31" x14ac:dyDescent="0.25">
      <c r="Q34" s="314"/>
      <c r="R34" s="317"/>
      <c r="S34" s="21" t="s">
        <v>21</v>
      </c>
      <c r="T34" s="49"/>
      <c r="U34" s="50"/>
      <c r="V34" s="50"/>
      <c r="W34" s="50"/>
      <c r="X34" s="50"/>
      <c r="Y34" s="50"/>
      <c r="Z34" s="50"/>
      <c r="AA34" s="50"/>
      <c r="AB34" s="50"/>
      <c r="AC34" s="11"/>
      <c r="AD34" s="24">
        <v>9</v>
      </c>
      <c r="AE34" s="71">
        <f>AD34*R32</f>
        <v>125</v>
      </c>
    </row>
    <row r="35" spans="17:31" ht="15.75" thickBot="1" x14ac:dyDescent="0.3">
      <c r="Q35" s="315"/>
      <c r="R35" s="318"/>
      <c r="S35" s="22" t="s">
        <v>22</v>
      </c>
      <c r="T35" s="51"/>
      <c r="U35" s="52"/>
      <c r="V35" s="52"/>
      <c r="W35" s="52"/>
      <c r="X35" s="52"/>
      <c r="Y35" s="52"/>
      <c r="Z35" s="52"/>
      <c r="AA35" s="52"/>
      <c r="AB35" s="64"/>
      <c r="AC35" s="13"/>
      <c r="AD35" s="25">
        <v>8</v>
      </c>
      <c r="AE35" s="81">
        <f>AD35*R32</f>
        <v>111.11111111111111</v>
      </c>
    </row>
    <row r="36" spans="17:31" x14ac:dyDescent="0.25">
      <c r="Q36" s="313" t="s">
        <v>30</v>
      </c>
      <c r="R36" s="316">
        <f>N12</f>
        <v>8.3333333333333339</v>
      </c>
      <c r="S36" s="20" t="s">
        <v>19</v>
      </c>
      <c r="T36" s="43"/>
      <c r="U36" s="44"/>
      <c r="V36" s="44"/>
      <c r="W36" s="44"/>
      <c r="X36" s="44"/>
      <c r="Y36" s="44"/>
      <c r="Z36" s="44"/>
      <c r="AA36" s="9"/>
      <c r="AB36" s="9"/>
      <c r="AC36" s="18"/>
      <c r="AD36" s="28">
        <v>7</v>
      </c>
      <c r="AE36" s="70">
        <f>AD36*R36</f>
        <v>58.333333333333336</v>
      </c>
    </row>
    <row r="37" spans="17:31" x14ac:dyDescent="0.25">
      <c r="Q37" s="314"/>
      <c r="R37" s="317"/>
      <c r="S37" s="21" t="s">
        <v>20</v>
      </c>
      <c r="T37" s="45"/>
      <c r="U37" s="46"/>
      <c r="V37" s="46"/>
      <c r="W37" s="46"/>
      <c r="X37" s="46"/>
      <c r="Y37" s="46"/>
      <c r="Z37" s="46"/>
      <c r="AA37" s="46"/>
      <c r="AB37" s="62"/>
      <c r="AC37" s="72"/>
      <c r="AD37" s="73">
        <v>8</v>
      </c>
      <c r="AE37" s="71">
        <f>AD37*R36</f>
        <v>66.666666666666671</v>
      </c>
    </row>
    <row r="38" spans="17:31" x14ac:dyDescent="0.25">
      <c r="Q38" s="314"/>
      <c r="R38" s="317"/>
      <c r="S38" s="21" t="s">
        <v>21</v>
      </c>
      <c r="T38" s="49"/>
      <c r="U38" s="50"/>
      <c r="V38" s="50"/>
      <c r="W38" s="50"/>
      <c r="X38" s="50"/>
      <c r="Y38" s="50"/>
      <c r="Z38" s="50"/>
      <c r="AA38" s="50"/>
      <c r="AB38" s="50"/>
      <c r="AC38" s="72"/>
      <c r="AD38" s="73">
        <v>9</v>
      </c>
      <c r="AE38" s="71">
        <f>AD38*R36</f>
        <v>75</v>
      </c>
    </row>
    <row r="39" spans="17:31" ht="15.75" thickBot="1" x14ac:dyDescent="0.3">
      <c r="Q39" s="315"/>
      <c r="R39" s="318"/>
      <c r="S39" s="22" t="s">
        <v>22</v>
      </c>
      <c r="T39" s="51"/>
      <c r="U39" s="52"/>
      <c r="V39" s="52"/>
      <c r="W39" s="52"/>
      <c r="X39" s="52"/>
      <c r="Y39" s="52"/>
      <c r="Z39" s="52"/>
      <c r="AA39" s="52"/>
      <c r="AB39" s="52"/>
      <c r="AC39" s="78"/>
      <c r="AD39" s="74">
        <v>9</v>
      </c>
      <c r="AE39" s="81">
        <f>AD39*R36</f>
        <v>75</v>
      </c>
    </row>
    <row r="40" spans="17:31" ht="15.75" thickBot="1" x14ac:dyDescent="0.3"/>
    <row r="41" spans="17:31" ht="15" customHeight="1" x14ac:dyDescent="0.25">
      <c r="Q41" s="307" t="s">
        <v>34</v>
      </c>
      <c r="R41" s="304"/>
      <c r="S41" s="311" t="s">
        <v>23</v>
      </c>
      <c r="T41" s="302" t="s">
        <v>35</v>
      </c>
      <c r="U41" s="303"/>
      <c r="V41" s="303"/>
      <c r="W41" s="304"/>
      <c r="X41" s="319" t="s">
        <v>82</v>
      </c>
      <c r="Y41" s="320"/>
      <c r="Z41" s="320"/>
      <c r="AA41" s="321"/>
      <c r="AB41" s="319" t="s">
        <v>37</v>
      </c>
      <c r="AC41" s="320"/>
      <c r="AD41" s="321"/>
      <c r="AE41" s="311" t="s">
        <v>38</v>
      </c>
    </row>
    <row r="42" spans="17:31" ht="15.75" thickBot="1" x14ac:dyDescent="0.3">
      <c r="Q42" s="283" t="s">
        <v>36</v>
      </c>
      <c r="R42" s="284"/>
      <c r="S42" s="312"/>
      <c r="T42" s="305"/>
      <c r="U42" s="306"/>
      <c r="V42" s="306"/>
      <c r="W42" s="284"/>
      <c r="X42" s="322"/>
      <c r="Y42" s="323"/>
      <c r="Z42" s="323"/>
      <c r="AA42" s="324"/>
      <c r="AB42" s="322"/>
      <c r="AC42" s="323"/>
      <c r="AD42" s="324"/>
      <c r="AE42" s="325"/>
    </row>
    <row r="43" spans="17:31" x14ac:dyDescent="0.25">
      <c r="Q43" s="307" t="s">
        <v>19</v>
      </c>
      <c r="R43" s="304"/>
      <c r="S43" s="41">
        <f>AE8+AE12+AE16+AE20+AE24+AE28+AE32+AE36</f>
        <v>697.22222222222229</v>
      </c>
      <c r="T43" s="308" t="s">
        <v>74</v>
      </c>
      <c r="U43" s="309"/>
      <c r="V43" s="309"/>
      <c r="W43" s="310"/>
      <c r="X43" s="308">
        <f>-AI12/1000</f>
        <v>0.92937800000000004</v>
      </c>
      <c r="Y43" s="309"/>
      <c r="Z43" s="309"/>
      <c r="AA43" s="310"/>
      <c r="AB43" s="308">
        <f>S43/X43</f>
        <v>750.20306293265196</v>
      </c>
      <c r="AC43" s="309"/>
      <c r="AD43" s="310"/>
      <c r="AE43" s="127" t="s">
        <v>74</v>
      </c>
    </row>
    <row r="44" spans="17:31" x14ac:dyDescent="0.25">
      <c r="Q44" s="297" t="s">
        <v>20</v>
      </c>
      <c r="R44" s="298"/>
      <c r="S44" s="68">
        <f t="shared" ref="S44:S45" si="1">AE9+AE13+AE17+AE21+AE25+AE29+AE33+AE37</f>
        <v>783.33333333333337</v>
      </c>
      <c r="T44" s="299">
        <f>S44-S43</f>
        <v>86.111111111111086</v>
      </c>
      <c r="U44" s="300"/>
      <c r="V44" s="300"/>
      <c r="W44" s="301"/>
      <c r="X44" s="299">
        <f>1.1*X43</f>
        <v>1.0223158000000001</v>
      </c>
      <c r="Y44" s="300"/>
      <c r="Z44" s="300"/>
      <c r="AA44" s="301"/>
      <c r="AB44" s="299">
        <f t="shared" ref="AB44:AB46" si="2">S44/X44</f>
        <v>766.23420408188281</v>
      </c>
      <c r="AC44" s="300"/>
      <c r="AD44" s="301"/>
      <c r="AE44" s="122">
        <f>AB44-AB43</f>
        <v>16.031141149230848</v>
      </c>
    </row>
    <row r="45" spans="17:31" x14ac:dyDescent="0.25">
      <c r="Q45" s="297" t="s">
        <v>21</v>
      </c>
      <c r="R45" s="298"/>
      <c r="S45" s="68">
        <f t="shared" si="1"/>
        <v>841.66666666666663</v>
      </c>
      <c r="T45" s="299">
        <f t="shared" ref="T45:T46" si="3">S45-S44</f>
        <v>58.333333333333258</v>
      </c>
      <c r="U45" s="300"/>
      <c r="V45" s="300"/>
      <c r="W45" s="301"/>
      <c r="X45" s="299">
        <f>1.3*X43</f>
        <v>1.2081914</v>
      </c>
      <c r="Y45" s="300"/>
      <c r="Z45" s="300"/>
      <c r="AA45" s="301"/>
      <c r="AB45" s="299">
        <f t="shared" si="2"/>
        <v>696.63355215627803</v>
      </c>
      <c r="AC45" s="300"/>
      <c r="AD45" s="301"/>
      <c r="AE45" s="122">
        <f>AB45-AB44</f>
        <v>-69.60065192560478</v>
      </c>
    </row>
    <row r="46" spans="17:31" ht="15.75" thickBot="1" x14ac:dyDescent="0.3">
      <c r="Q46" s="283" t="s">
        <v>22</v>
      </c>
      <c r="R46" s="284"/>
      <c r="S46" s="82">
        <f>AE11+AE15+AE19+AE23+AE27+AE31+AE35+AE39</f>
        <v>866.66666666666663</v>
      </c>
      <c r="T46" s="285">
        <f t="shared" si="3"/>
        <v>25</v>
      </c>
      <c r="U46" s="286"/>
      <c r="V46" s="286"/>
      <c r="W46" s="287"/>
      <c r="X46" s="285">
        <f>1.5*X43</f>
        <v>1.3940670000000002</v>
      </c>
      <c r="Y46" s="286"/>
      <c r="Z46" s="286"/>
      <c r="AA46" s="287"/>
      <c r="AB46" s="285">
        <f t="shared" si="2"/>
        <v>621.68221948203814</v>
      </c>
      <c r="AC46" s="286"/>
      <c r="AD46" s="287"/>
      <c r="AE46" s="125">
        <f>AB46-AB45</f>
        <v>-74.951332674239893</v>
      </c>
    </row>
  </sheetData>
  <mergeCells count="60">
    <mergeCell ref="AH2:AI2"/>
    <mergeCell ref="AH11:AI11"/>
    <mergeCell ref="X46:AA46"/>
    <mergeCell ref="AB46:AD46"/>
    <mergeCell ref="B10:G10"/>
    <mergeCell ref="B11:H11"/>
    <mergeCell ref="B12:I12"/>
    <mergeCell ref="L2:L3"/>
    <mergeCell ref="N2:N3"/>
    <mergeCell ref="M2:M3"/>
    <mergeCell ref="L4:N4"/>
    <mergeCell ref="B6:C6"/>
    <mergeCell ref="B7:D7"/>
    <mergeCell ref="B8:E8"/>
    <mergeCell ref="B9:F9"/>
    <mergeCell ref="Q2:AE5"/>
    <mergeCell ref="Q6:Q7"/>
    <mergeCell ref="R6:R7"/>
    <mergeCell ref="S6:S7"/>
    <mergeCell ref="T6:AC6"/>
    <mergeCell ref="AE6:AE7"/>
    <mergeCell ref="AD6:AD7"/>
    <mergeCell ref="Q8:Q11"/>
    <mergeCell ref="R8:R11"/>
    <mergeCell ref="Q12:Q15"/>
    <mergeCell ref="R12:R15"/>
    <mergeCell ref="Q16:Q19"/>
    <mergeCell ref="R16:R19"/>
    <mergeCell ref="Q41:R41"/>
    <mergeCell ref="Q20:Q23"/>
    <mergeCell ref="R20:R23"/>
    <mergeCell ref="Q24:Q27"/>
    <mergeCell ref="R24:R27"/>
    <mergeCell ref="Q28:Q31"/>
    <mergeCell ref="R28:R31"/>
    <mergeCell ref="X41:AA42"/>
    <mergeCell ref="X43:AA43"/>
    <mergeCell ref="X44:AA44"/>
    <mergeCell ref="X45:AA45"/>
    <mergeCell ref="AE41:AE42"/>
    <mergeCell ref="AB41:AD42"/>
    <mergeCell ref="AB43:AD43"/>
    <mergeCell ref="AB44:AD44"/>
    <mergeCell ref="AB45:AD45"/>
    <mergeCell ref="Q46:R46"/>
    <mergeCell ref="T46:W46"/>
    <mergeCell ref="B2:J4"/>
    <mergeCell ref="Q44:R44"/>
    <mergeCell ref="T44:W44"/>
    <mergeCell ref="Q45:R45"/>
    <mergeCell ref="T45:W45"/>
    <mergeCell ref="T41:W42"/>
    <mergeCell ref="Q42:R42"/>
    <mergeCell ref="Q43:R43"/>
    <mergeCell ref="T43:W43"/>
    <mergeCell ref="S41:S42"/>
    <mergeCell ref="Q32:Q35"/>
    <mergeCell ref="R32:R35"/>
    <mergeCell ref="Q36:Q39"/>
    <mergeCell ref="R36:R39"/>
  </mergeCells>
  <pageMargins left="0.1" right="0.1" top="0.1" bottom="0.1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zoomScale="70" zoomScaleNormal="70" zoomScaleSheetLayoutView="55" workbookViewId="0"/>
  </sheetViews>
  <sheetFormatPr defaultRowHeight="15" x14ac:dyDescent="0.25"/>
  <cols>
    <col min="2" max="2" width="26.5703125" customWidth="1"/>
    <col min="3" max="7" width="3.5703125" customWidth="1"/>
    <col min="8" max="8" width="3.7109375" customWidth="1"/>
    <col min="9" max="11" width="3.5703125" customWidth="1"/>
    <col min="13" max="13" width="5.42578125" bestFit="1" customWidth="1"/>
    <col min="14" max="14" width="7.7109375" bestFit="1" customWidth="1"/>
    <col min="16" max="16" width="14" customWidth="1"/>
    <col min="17" max="17" width="10.28515625" bestFit="1" customWidth="1"/>
    <col min="18" max="18" width="21.42578125" bestFit="1" customWidth="1"/>
    <col min="19" max="28" width="3.5703125" customWidth="1"/>
    <col min="29" max="29" width="9" customWidth="1"/>
    <col min="30" max="30" width="13.28515625" bestFit="1" customWidth="1"/>
    <col min="32" max="32" width="32.42578125" customWidth="1"/>
    <col min="33" max="33" width="13.42578125" customWidth="1"/>
  </cols>
  <sheetData>
    <row r="1" spans="1:39" ht="15.75" thickBot="1" x14ac:dyDescent="0.3"/>
    <row r="2" spans="1:39" ht="15" customHeight="1" thickBot="1" x14ac:dyDescent="0.3">
      <c r="B2" s="288" t="s">
        <v>43</v>
      </c>
      <c r="C2" s="289"/>
      <c r="D2" s="289"/>
      <c r="E2" s="289"/>
      <c r="F2" s="289"/>
      <c r="G2" s="289"/>
      <c r="H2" s="289"/>
      <c r="I2" s="289"/>
      <c r="J2" s="290"/>
      <c r="L2" s="311" t="s">
        <v>41</v>
      </c>
      <c r="M2" s="341" t="s">
        <v>0</v>
      </c>
      <c r="N2" s="341" t="s">
        <v>14</v>
      </c>
      <c r="P2" s="288" t="s">
        <v>80</v>
      </c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90"/>
    </row>
    <row r="3" spans="1:39" ht="15.75" thickBot="1" x14ac:dyDescent="0.3">
      <c r="B3" s="291"/>
      <c r="C3" s="292"/>
      <c r="D3" s="292"/>
      <c r="E3" s="292"/>
      <c r="F3" s="292"/>
      <c r="G3" s="292"/>
      <c r="H3" s="292"/>
      <c r="I3" s="292"/>
      <c r="J3" s="293"/>
      <c r="L3" s="325"/>
      <c r="M3" s="325"/>
      <c r="N3" s="325"/>
      <c r="P3" s="291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3"/>
      <c r="AF3" s="136" t="s">
        <v>96</v>
      </c>
      <c r="AG3" s="129" t="s">
        <v>81</v>
      </c>
    </row>
    <row r="4" spans="1:39" ht="15.75" thickBot="1" x14ac:dyDescent="0.3">
      <c r="B4" s="294"/>
      <c r="C4" s="295"/>
      <c r="D4" s="295"/>
      <c r="E4" s="295"/>
      <c r="F4" s="295"/>
      <c r="G4" s="295"/>
      <c r="H4" s="295"/>
      <c r="I4" s="295"/>
      <c r="J4" s="296"/>
      <c r="L4" s="335"/>
      <c r="M4" s="364"/>
      <c r="N4" s="336"/>
      <c r="P4" s="291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3"/>
      <c r="AF4" s="135" t="s">
        <v>44</v>
      </c>
      <c r="AG4" s="133">
        <v>400</v>
      </c>
      <c r="AH4" s="33"/>
      <c r="AI4" s="33"/>
      <c r="AJ4" s="33"/>
      <c r="AK4" s="33"/>
      <c r="AL4" s="33"/>
      <c r="AM4" s="33"/>
    </row>
    <row r="5" spans="1:39" ht="15.75" thickBot="1" x14ac:dyDescent="0.3">
      <c r="B5" s="32" t="s">
        <v>44</v>
      </c>
      <c r="C5" s="101" t="s">
        <v>6</v>
      </c>
      <c r="D5" s="102" t="s">
        <v>6</v>
      </c>
      <c r="E5" s="103" t="s">
        <v>6</v>
      </c>
      <c r="F5" s="103" t="s">
        <v>6</v>
      </c>
      <c r="G5" s="103" t="s">
        <v>88</v>
      </c>
      <c r="H5" s="103" t="s">
        <v>6</v>
      </c>
      <c r="I5" s="100" t="s">
        <v>6</v>
      </c>
      <c r="J5" s="100" t="s">
        <v>76</v>
      </c>
      <c r="L5" s="119" t="s">
        <v>6</v>
      </c>
      <c r="M5" s="117">
        <v>7</v>
      </c>
      <c r="N5" s="121">
        <f t="shared" ref="N5:N12" si="0">M5*100/T_Schiphol</f>
        <v>19.444444444444443</v>
      </c>
      <c r="P5" s="294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6"/>
      <c r="AF5" s="128" t="s">
        <v>89</v>
      </c>
      <c r="AG5" s="76">
        <v>322</v>
      </c>
      <c r="AH5" s="33"/>
      <c r="AI5" s="33"/>
      <c r="AJ5" s="33"/>
      <c r="AK5" s="33"/>
      <c r="AL5" s="33"/>
      <c r="AM5" s="33"/>
    </row>
    <row r="6" spans="1:39" ht="15.75" thickBot="1" x14ac:dyDescent="0.3">
      <c r="B6" s="344" t="s">
        <v>64</v>
      </c>
      <c r="C6" s="345"/>
      <c r="D6" s="104" t="s">
        <v>7</v>
      </c>
      <c r="E6" s="106" t="s">
        <v>7</v>
      </c>
      <c r="F6" s="105" t="s">
        <v>63</v>
      </c>
      <c r="G6" s="105" t="s">
        <v>10</v>
      </c>
      <c r="H6" s="105" t="s">
        <v>66</v>
      </c>
      <c r="I6" s="105" t="s">
        <v>12</v>
      </c>
      <c r="J6" s="105" t="s">
        <v>13</v>
      </c>
      <c r="L6" s="118" t="s">
        <v>7</v>
      </c>
      <c r="M6" s="118">
        <v>3</v>
      </c>
      <c r="N6" s="122">
        <f t="shared" si="0"/>
        <v>8.3333333333333339</v>
      </c>
      <c r="P6" s="328" t="s">
        <v>15</v>
      </c>
      <c r="Q6" s="311" t="s">
        <v>31</v>
      </c>
      <c r="R6" s="329" t="s">
        <v>32</v>
      </c>
      <c r="S6" s="307" t="s">
        <v>18</v>
      </c>
      <c r="T6" s="303"/>
      <c r="U6" s="303"/>
      <c r="V6" s="303"/>
      <c r="W6" s="303"/>
      <c r="X6" s="303"/>
      <c r="Y6" s="303"/>
      <c r="Z6" s="303"/>
      <c r="AA6" s="303"/>
      <c r="AB6" s="304"/>
      <c r="AC6" s="334" t="s">
        <v>79</v>
      </c>
      <c r="AD6" s="332" t="s">
        <v>23</v>
      </c>
      <c r="AF6" s="123" t="s">
        <v>90</v>
      </c>
      <c r="AG6" s="76">
        <v>17</v>
      </c>
      <c r="AH6" s="85"/>
      <c r="AI6" s="33"/>
      <c r="AJ6" s="33"/>
      <c r="AK6" s="33"/>
      <c r="AL6" s="33"/>
      <c r="AM6" s="33"/>
    </row>
    <row r="7" spans="1:39" ht="15.75" thickBot="1" x14ac:dyDescent="0.3">
      <c r="B7" s="346" t="s">
        <v>68</v>
      </c>
      <c r="C7" s="347"/>
      <c r="D7" s="348"/>
      <c r="E7" s="107" t="s">
        <v>8</v>
      </c>
      <c r="F7" s="109" t="s">
        <v>9</v>
      </c>
      <c r="G7" s="108" t="s">
        <v>10</v>
      </c>
      <c r="H7" s="108" t="s">
        <v>11</v>
      </c>
      <c r="I7" s="108" t="s">
        <v>12</v>
      </c>
      <c r="J7" s="108" t="s">
        <v>13</v>
      </c>
      <c r="L7" s="118" t="s">
        <v>8</v>
      </c>
      <c r="M7" s="118">
        <v>1</v>
      </c>
      <c r="N7" s="122">
        <f t="shared" si="0"/>
        <v>2.7777777777777777</v>
      </c>
      <c r="P7" s="315"/>
      <c r="Q7" s="325"/>
      <c r="R7" s="330"/>
      <c r="S7" s="26">
        <v>1</v>
      </c>
      <c r="T7" s="12">
        <v>2</v>
      </c>
      <c r="U7" s="12">
        <v>3</v>
      </c>
      <c r="V7" s="12">
        <v>4</v>
      </c>
      <c r="W7" s="12">
        <v>5</v>
      </c>
      <c r="X7" s="12">
        <v>6</v>
      </c>
      <c r="Y7" s="12">
        <v>7</v>
      </c>
      <c r="Z7" s="12">
        <v>8</v>
      </c>
      <c r="AA7" s="12">
        <v>9</v>
      </c>
      <c r="AB7" s="19">
        <v>10</v>
      </c>
      <c r="AC7" s="318"/>
      <c r="AD7" s="333"/>
      <c r="AF7" s="128" t="s">
        <v>91</v>
      </c>
      <c r="AG7" s="76">
        <v>95</v>
      </c>
      <c r="AH7" s="85"/>
      <c r="AI7" s="85"/>
      <c r="AJ7" s="33"/>
      <c r="AK7" s="33"/>
      <c r="AL7" s="33"/>
      <c r="AM7" s="33"/>
    </row>
    <row r="8" spans="1:39" ht="15.75" thickBot="1" x14ac:dyDescent="0.3">
      <c r="B8" s="344" t="s">
        <v>48</v>
      </c>
      <c r="C8" s="349"/>
      <c r="D8" s="349"/>
      <c r="E8" s="345"/>
      <c r="F8" s="110" t="s">
        <v>9</v>
      </c>
      <c r="G8" s="112" t="s">
        <v>10</v>
      </c>
      <c r="H8" s="111" t="s">
        <v>67</v>
      </c>
      <c r="I8" s="111" t="s">
        <v>12</v>
      </c>
      <c r="J8" s="111" t="s">
        <v>13</v>
      </c>
      <c r="L8" s="120" t="s">
        <v>9</v>
      </c>
      <c r="M8" s="118">
        <v>3</v>
      </c>
      <c r="N8" s="122">
        <f t="shared" si="0"/>
        <v>8.3333333333333339</v>
      </c>
      <c r="P8" s="313" t="s">
        <v>24</v>
      </c>
      <c r="Q8" s="326">
        <f>N5</f>
        <v>19.444444444444443</v>
      </c>
      <c r="R8" s="20" t="s">
        <v>19</v>
      </c>
      <c r="S8" s="47"/>
      <c r="T8" s="48"/>
      <c r="U8" s="48"/>
      <c r="V8" s="48"/>
      <c r="W8" s="48"/>
      <c r="X8" s="48"/>
      <c r="Y8" s="48"/>
      <c r="Z8" s="48"/>
      <c r="AA8" s="48"/>
      <c r="AB8" s="18"/>
      <c r="AC8" s="28">
        <v>9</v>
      </c>
      <c r="AD8" s="70">
        <f>AC8*Q8</f>
        <v>175</v>
      </c>
      <c r="AF8" s="123" t="s">
        <v>92</v>
      </c>
      <c r="AG8" s="76">
        <v>46</v>
      </c>
      <c r="AH8" s="85"/>
      <c r="AI8" s="85"/>
      <c r="AJ8" s="85"/>
      <c r="AK8" s="33"/>
      <c r="AL8" s="33"/>
      <c r="AM8" s="33"/>
    </row>
    <row r="9" spans="1:39" ht="15.75" thickBot="1" x14ac:dyDescent="0.3">
      <c r="B9" s="344" t="s">
        <v>45</v>
      </c>
      <c r="C9" s="349"/>
      <c r="D9" s="349"/>
      <c r="E9" s="349"/>
      <c r="F9" s="345"/>
      <c r="G9" s="113" t="s">
        <v>10</v>
      </c>
      <c r="H9" s="115" t="s">
        <v>10</v>
      </c>
      <c r="I9" s="114" t="s">
        <v>12</v>
      </c>
      <c r="J9" s="114" t="s">
        <v>77</v>
      </c>
      <c r="L9" s="118" t="s">
        <v>10</v>
      </c>
      <c r="M9" s="118">
        <v>6</v>
      </c>
      <c r="N9" s="122">
        <f t="shared" si="0"/>
        <v>16.666666666666668</v>
      </c>
      <c r="P9" s="314"/>
      <c r="Q9" s="327"/>
      <c r="R9" s="21" t="s">
        <v>20</v>
      </c>
      <c r="S9" s="45"/>
      <c r="T9" s="46"/>
      <c r="U9" s="46"/>
      <c r="V9" s="46"/>
      <c r="W9" s="46"/>
      <c r="X9" s="46"/>
      <c r="Y9" s="46"/>
      <c r="Z9" s="46"/>
      <c r="AA9" s="46"/>
      <c r="AB9" s="27"/>
      <c r="AC9" s="73">
        <v>9</v>
      </c>
      <c r="AD9" s="71">
        <f>AC9*Q8</f>
        <v>175</v>
      </c>
      <c r="AF9" s="128" t="s">
        <v>93</v>
      </c>
      <c r="AG9" s="76">
        <v>310</v>
      </c>
      <c r="AH9" s="85"/>
      <c r="AI9" s="85"/>
      <c r="AJ9" s="85"/>
      <c r="AK9" s="85"/>
      <c r="AL9" s="33"/>
      <c r="AM9" s="33"/>
    </row>
    <row r="10" spans="1:39" ht="15.75" thickBot="1" x14ac:dyDescent="0.3">
      <c r="B10" s="339" t="s">
        <v>46</v>
      </c>
      <c r="C10" s="340"/>
      <c r="D10" s="340"/>
      <c r="E10" s="340"/>
      <c r="F10" s="340"/>
      <c r="G10" s="340"/>
      <c r="H10" s="1" t="s">
        <v>11</v>
      </c>
      <c r="I10" s="3" t="s">
        <v>12</v>
      </c>
      <c r="J10" s="2" t="s">
        <v>13</v>
      </c>
      <c r="L10" s="118" t="s">
        <v>11</v>
      </c>
      <c r="M10" s="118">
        <v>3</v>
      </c>
      <c r="N10" s="122">
        <f t="shared" si="0"/>
        <v>8.3333333333333339</v>
      </c>
      <c r="P10" s="314"/>
      <c r="Q10" s="327"/>
      <c r="R10" s="21" t="s">
        <v>21</v>
      </c>
      <c r="S10" s="49"/>
      <c r="T10" s="50"/>
      <c r="U10" s="50"/>
      <c r="V10" s="50"/>
      <c r="W10" s="50"/>
      <c r="X10" s="50"/>
      <c r="Y10" s="50"/>
      <c r="Z10" s="50"/>
      <c r="AA10" s="50"/>
      <c r="AB10" s="27"/>
      <c r="AC10" s="73">
        <v>9</v>
      </c>
      <c r="AD10" s="71">
        <f>AC10*Q8</f>
        <v>175</v>
      </c>
      <c r="AF10" s="128" t="s">
        <v>94</v>
      </c>
      <c r="AG10" s="76">
        <v>186</v>
      </c>
      <c r="AH10" s="85"/>
      <c r="AI10" s="85"/>
      <c r="AJ10" s="85"/>
      <c r="AK10" s="85"/>
      <c r="AL10" s="85"/>
      <c r="AM10" s="33"/>
    </row>
    <row r="11" spans="1:39" ht="15.75" thickBot="1" x14ac:dyDescent="0.3">
      <c r="A11" s="37"/>
      <c r="B11" s="339" t="s">
        <v>2</v>
      </c>
      <c r="C11" s="340"/>
      <c r="D11" s="340"/>
      <c r="E11" s="340"/>
      <c r="F11" s="340"/>
      <c r="G11" s="340"/>
      <c r="H11" s="340"/>
      <c r="I11" s="67" t="s">
        <v>12</v>
      </c>
      <c r="J11" s="3" t="s">
        <v>13</v>
      </c>
      <c r="K11" s="37"/>
      <c r="L11" s="123" t="s">
        <v>12</v>
      </c>
      <c r="M11" s="118">
        <v>6</v>
      </c>
      <c r="N11" s="122">
        <f t="shared" si="0"/>
        <v>16.666666666666668</v>
      </c>
      <c r="P11" s="315"/>
      <c r="Q11" s="325"/>
      <c r="R11" s="22" t="s">
        <v>22</v>
      </c>
      <c r="S11" s="51"/>
      <c r="T11" s="52"/>
      <c r="U11" s="52"/>
      <c r="V11" s="52"/>
      <c r="W11" s="52"/>
      <c r="X11" s="52"/>
      <c r="Y11" s="52"/>
      <c r="Z11" s="52"/>
      <c r="AA11" s="52"/>
      <c r="AB11" s="19"/>
      <c r="AC11" s="74">
        <v>9</v>
      </c>
      <c r="AD11" s="81">
        <f>AC11*Q8</f>
        <v>175</v>
      </c>
      <c r="AF11" s="126" t="s">
        <v>95</v>
      </c>
      <c r="AG11" s="77">
        <v>9</v>
      </c>
      <c r="AH11" s="85"/>
      <c r="AI11" s="85"/>
      <c r="AJ11" s="85"/>
      <c r="AK11" s="85"/>
      <c r="AL11" s="85"/>
      <c r="AM11" s="85"/>
    </row>
    <row r="12" spans="1:39" ht="15.75" thickBot="1" x14ac:dyDescent="0.3">
      <c r="B12" s="339" t="s">
        <v>75</v>
      </c>
      <c r="C12" s="340"/>
      <c r="D12" s="340"/>
      <c r="E12" s="340"/>
      <c r="F12" s="340"/>
      <c r="G12" s="340"/>
      <c r="H12" s="340"/>
      <c r="I12" s="340"/>
      <c r="J12" s="1" t="s">
        <v>13</v>
      </c>
      <c r="L12" s="124" t="s">
        <v>13</v>
      </c>
      <c r="M12" s="99">
        <v>7</v>
      </c>
      <c r="N12" s="125">
        <f t="shared" si="0"/>
        <v>19.444444444444443</v>
      </c>
      <c r="P12" s="313" t="s">
        <v>65</v>
      </c>
      <c r="Q12" s="326">
        <f>N6</f>
        <v>8.3333333333333339</v>
      </c>
      <c r="R12" s="20" t="s">
        <v>19</v>
      </c>
      <c r="S12" s="47"/>
      <c r="T12" s="44"/>
      <c r="U12" s="44"/>
      <c r="V12" s="44"/>
      <c r="W12" s="44"/>
      <c r="X12" s="44"/>
      <c r="Y12" s="44"/>
      <c r="Z12" s="44"/>
      <c r="AA12" s="44"/>
      <c r="AB12" s="18"/>
      <c r="AC12" s="80">
        <v>9</v>
      </c>
      <c r="AD12" s="70">
        <f>AC12*Q12</f>
        <v>75</v>
      </c>
      <c r="AF12" s="350"/>
      <c r="AG12" s="351"/>
    </row>
    <row r="13" spans="1:39" ht="15.75" thickBot="1" x14ac:dyDescent="0.3">
      <c r="P13" s="314"/>
      <c r="Q13" s="327"/>
      <c r="R13" s="21" t="s">
        <v>20</v>
      </c>
      <c r="S13" s="45"/>
      <c r="T13" s="46"/>
      <c r="U13" s="46"/>
      <c r="V13" s="46"/>
      <c r="W13" s="46"/>
      <c r="X13" s="46"/>
      <c r="Y13" s="46"/>
      <c r="Z13" s="46"/>
      <c r="AA13" s="46"/>
      <c r="AB13" s="53"/>
      <c r="AC13" s="73">
        <v>10</v>
      </c>
      <c r="AD13" s="71">
        <f>AC13*Q12</f>
        <v>83.333333333333343</v>
      </c>
      <c r="AF13" s="136" t="s">
        <v>0</v>
      </c>
      <c r="AG13" s="134">
        <f>SUM(AG4:AG11)</f>
        <v>1385</v>
      </c>
    </row>
    <row r="14" spans="1:39" x14ac:dyDescent="0.25">
      <c r="M14" s="116">
        <f>SUM(M5:M12)</f>
        <v>36</v>
      </c>
      <c r="N14" s="86">
        <f>SUM(N5:N12)</f>
        <v>100</v>
      </c>
      <c r="P14" s="314"/>
      <c r="Q14" s="327"/>
      <c r="R14" s="21" t="s">
        <v>21</v>
      </c>
      <c r="S14" s="49"/>
      <c r="T14" s="50"/>
      <c r="U14" s="50"/>
      <c r="V14" s="50"/>
      <c r="W14" s="50"/>
      <c r="X14" s="50"/>
      <c r="Y14" s="50"/>
      <c r="Z14" s="50"/>
      <c r="AA14" s="50"/>
      <c r="AB14" s="54"/>
      <c r="AC14" s="73">
        <v>10</v>
      </c>
      <c r="AD14" s="71">
        <f>AC14*Q12</f>
        <v>83.333333333333343</v>
      </c>
      <c r="AF14" s="34"/>
      <c r="AG14" s="34"/>
    </row>
    <row r="15" spans="1:39" ht="15.75" thickBot="1" x14ac:dyDescent="0.3">
      <c r="P15" s="315"/>
      <c r="Q15" s="325"/>
      <c r="R15" s="22" t="s">
        <v>22</v>
      </c>
      <c r="S15" s="51"/>
      <c r="T15" s="52"/>
      <c r="U15" s="52"/>
      <c r="V15" s="52"/>
      <c r="W15" s="52"/>
      <c r="X15" s="52"/>
      <c r="Y15" s="52"/>
      <c r="Z15" s="52"/>
      <c r="AA15" s="52"/>
      <c r="AB15" s="55"/>
      <c r="AC15" s="74">
        <v>10</v>
      </c>
      <c r="AD15" s="81">
        <f>AC15*Q12</f>
        <v>83.333333333333343</v>
      </c>
      <c r="AF15" s="34"/>
      <c r="AG15" s="34"/>
    </row>
    <row r="16" spans="1:39" x14ac:dyDescent="0.25">
      <c r="P16" s="313" t="s">
        <v>69</v>
      </c>
      <c r="Q16" s="326">
        <f>N7</f>
        <v>2.7777777777777777</v>
      </c>
      <c r="R16" s="20" t="s">
        <v>19</v>
      </c>
      <c r="S16" s="43"/>
      <c r="T16" s="44"/>
      <c r="U16" s="44"/>
      <c r="V16" s="44"/>
      <c r="W16" s="44"/>
      <c r="X16" s="44"/>
      <c r="Y16" s="44"/>
      <c r="Z16" s="44"/>
      <c r="AA16" s="9"/>
      <c r="AB16" s="18"/>
      <c r="AC16" s="80">
        <v>8</v>
      </c>
      <c r="AD16" s="70">
        <f>AC16*Q16</f>
        <v>22.222222222222221</v>
      </c>
      <c r="AF16" s="34"/>
      <c r="AG16" s="34"/>
    </row>
    <row r="17" spans="16:33" x14ac:dyDescent="0.25">
      <c r="P17" s="314"/>
      <c r="Q17" s="327"/>
      <c r="R17" s="21" t="s">
        <v>20</v>
      </c>
      <c r="S17" s="45"/>
      <c r="T17" s="46"/>
      <c r="U17" s="46"/>
      <c r="V17" s="46"/>
      <c r="W17" s="46"/>
      <c r="X17" s="46"/>
      <c r="Y17" s="46"/>
      <c r="Z17" s="46"/>
      <c r="AA17" s="46"/>
      <c r="AB17" s="27"/>
      <c r="AC17" s="73">
        <v>9</v>
      </c>
      <c r="AD17" s="71">
        <f>AC17*Q16</f>
        <v>25</v>
      </c>
      <c r="AF17" s="34"/>
      <c r="AG17" s="34"/>
    </row>
    <row r="18" spans="16:33" x14ac:dyDescent="0.25">
      <c r="P18" s="314"/>
      <c r="Q18" s="327"/>
      <c r="R18" s="21" t="s">
        <v>21</v>
      </c>
      <c r="S18" s="49"/>
      <c r="T18" s="50"/>
      <c r="U18" s="50"/>
      <c r="V18" s="50"/>
      <c r="W18" s="50"/>
      <c r="X18" s="50"/>
      <c r="Y18" s="50"/>
      <c r="Z18" s="50"/>
      <c r="AA18" s="50"/>
      <c r="AB18" s="27"/>
      <c r="AC18" s="73">
        <v>9</v>
      </c>
      <c r="AD18" s="71">
        <f>AC18*Q16</f>
        <v>25</v>
      </c>
      <c r="AF18" s="34"/>
      <c r="AG18" s="34"/>
    </row>
    <row r="19" spans="16:33" ht="15.75" thickBot="1" x14ac:dyDescent="0.3">
      <c r="P19" s="315"/>
      <c r="Q19" s="325"/>
      <c r="R19" s="22" t="s">
        <v>22</v>
      </c>
      <c r="S19" s="51"/>
      <c r="T19" s="52"/>
      <c r="U19" s="52"/>
      <c r="V19" s="52"/>
      <c r="W19" s="52"/>
      <c r="X19" s="52"/>
      <c r="Y19" s="52"/>
      <c r="Z19" s="52"/>
      <c r="AA19" s="52"/>
      <c r="AB19" s="55"/>
      <c r="AC19" s="74">
        <v>10</v>
      </c>
      <c r="AD19" s="81">
        <f>AC19*Q16</f>
        <v>27.777777777777779</v>
      </c>
      <c r="AF19" s="34"/>
      <c r="AG19" s="34"/>
    </row>
    <row r="20" spans="16:33" ht="15" customHeight="1" x14ac:dyDescent="0.25">
      <c r="P20" s="313" t="s">
        <v>30</v>
      </c>
      <c r="Q20" s="326">
        <f>N8</f>
        <v>8.3333333333333339</v>
      </c>
      <c r="R20" s="20" t="s">
        <v>19</v>
      </c>
      <c r="S20" s="43"/>
      <c r="T20" s="44"/>
      <c r="U20" s="44"/>
      <c r="V20" s="44"/>
      <c r="W20" s="44"/>
      <c r="X20" s="44"/>
      <c r="Y20" s="44"/>
      <c r="Z20" s="44"/>
      <c r="AA20" s="44"/>
      <c r="AB20" s="18"/>
      <c r="AC20" s="80">
        <v>9</v>
      </c>
      <c r="AD20" s="70">
        <f>AC20*Q20</f>
        <v>75</v>
      </c>
      <c r="AF20" s="34"/>
      <c r="AG20" s="34"/>
    </row>
    <row r="21" spans="16:33" x14ac:dyDescent="0.25">
      <c r="P21" s="314"/>
      <c r="Q21" s="327"/>
      <c r="R21" s="21" t="s">
        <v>20</v>
      </c>
      <c r="S21" s="45"/>
      <c r="T21" s="46"/>
      <c r="U21" s="46"/>
      <c r="V21" s="46"/>
      <c r="W21" s="46"/>
      <c r="X21" s="46"/>
      <c r="Y21" s="46"/>
      <c r="Z21" s="46"/>
      <c r="AA21" s="46"/>
      <c r="AB21" s="27"/>
      <c r="AC21" s="73">
        <v>9</v>
      </c>
      <c r="AD21" s="71">
        <f>AC21*Q20</f>
        <v>75</v>
      </c>
      <c r="AF21" s="34"/>
      <c r="AG21" s="34"/>
    </row>
    <row r="22" spans="16:33" x14ac:dyDescent="0.25">
      <c r="P22" s="314"/>
      <c r="Q22" s="327"/>
      <c r="R22" s="21" t="s">
        <v>21</v>
      </c>
      <c r="S22" s="49"/>
      <c r="T22" s="50"/>
      <c r="U22" s="50"/>
      <c r="V22" s="50"/>
      <c r="W22" s="50"/>
      <c r="X22" s="50"/>
      <c r="Y22" s="50"/>
      <c r="Z22" s="50"/>
      <c r="AA22" s="50"/>
      <c r="AB22" s="54"/>
      <c r="AC22" s="73">
        <v>10</v>
      </c>
      <c r="AD22" s="71">
        <f>AC22*Q20</f>
        <v>83.333333333333343</v>
      </c>
    </row>
    <row r="23" spans="16:33" ht="15.75" thickBot="1" x14ac:dyDescent="0.3">
      <c r="P23" s="315"/>
      <c r="Q23" s="325"/>
      <c r="R23" s="22" t="s">
        <v>22</v>
      </c>
      <c r="S23" s="51"/>
      <c r="T23" s="52"/>
      <c r="U23" s="52"/>
      <c r="V23" s="52"/>
      <c r="W23" s="52"/>
      <c r="X23" s="52"/>
      <c r="Y23" s="52"/>
      <c r="Z23" s="52"/>
      <c r="AA23" s="52"/>
      <c r="AB23" s="55"/>
      <c r="AC23" s="74">
        <v>10</v>
      </c>
      <c r="AD23" s="81">
        <f>AC23*Q20</f>
        <v>83.333333333333343</v>
      </c>
    </row>
    <row r="24" spans="16:33" x14ac:dyDescent="0.25">
      <c r="P24" s="313" t="s">
        <v>49</v>
      </c>
      <c r="Q24" s="326">
        <f>N9</f>
        <v>16.666666666666668</v>
      </c>
      <c r="R24" s="20" t="s">
        <v>19</v>
      </c>
      <c r="S24" s="43"/>
      <c r="T24" s="44"/>
      <c r="U24" s="44"/>
      <c r="V24" s="44"/>
      <c r="W24" s="44"/>
      <c r="X24" s="44"/>
      <c r="Y24" s="44"/>
      <c r="Z24" s="61"/>
      <c r="AA24" s="61"/>
      <c r="AB24" s="79"/>
      <c r="AC24" s="80">
        <v>7</v>
      </c>
      <c r="AD24" s="70">
        <f>AC24*Q24</f>
        <v>116.66666666666667</v>
      </c>
    </row>
    <row r="25" spans="16:33" x14ac:dyDescent="0.25">
      <c r="P25" s="314"/>
      <c r="Q25" s="327"/>
      <c r="R25" s="21" t="s">
        <v>20</v>
      </c>
      <c r="S25" s="45"/>
      <c r="T25" s="46"/>
      <c r="U25" s="46"/>
      <c r="V25" s="46"/>
      <c r="W25" s="46"/>
      <c r="X25" s="46"/>
      <c r="Y25" s="46"/>
      <c r="Z25" s="46"/>
      <c r="AA25" s="62"/>
      <c r="AB25" s="72"/>
      <c r="AC25" s="73">
        <v>8</v>
      </c>
      <c r="AD25" s="71">
        <f>AC25*Q24</f>
        <v>133.33333333333334</v>
      </c>
    </row>
    <row r="26" spans="16:33" x14ac:dyDescent="0.25">
      <c r="P26" s="314"/>
      <c r="Q26" s="327"/>
      <c r="R26" s="21" t="s">
        <v>21</v>
      </c>
      <c r="S26" s="49"/>
      <c r="T26" s="50"/>
      <c r="U26" s="50"/>
      <c r="V26" s="50"/>
      <c r="W26" s="50"/>
      <c r="X26" s="50"/>
      <c r="Y26" s="50"/>
      <c r="Z26" s="50"/>
      <c r="AA26" s="62"/>
      <c r="AB26" s="72"/>
      <c r="AC26" s="73">
        <v>8</v>
      </c>
      <c r="AD26" s="71">
        <f>AC26*Q24</f>
        <v>133.33333333333334</v>
      </c>
    </row>
    <row r="27" spans="16:33" ht="15.75" thickBot="1" x14ac:dyDescent="0.3">
      <c r="P27" s="315"/>
      <c r="Q27" s="325"/>
      <c r="R27" s="22" t="s">
        <v>22</v>
      </c>
      <c r="S27" s="51"/>
      <c r="T27" s="52"/>
      <c r="U27" s="52"/>
      <c r="V27" s="52"/>
      <c r="W27" s="52"/>
      <c r="X27" s="52"/>
      <c r="Y27" s="52"/>
      <c r="Z27" s="52"/>
      <c r="AA27" s="52"/>
      <c r="AB27" s="78"/>
      <c r="AC27" s="74">
        <v>9</v>
      </c>
      <c r="AD27" s="81">
        <f>AC27*Q24</f>
        <v>150</v>
      </c>
    </row>
    <row r="28" spans="16:33" x14ac:dyDescent="0.25">
      <c r="P28" s="313" t="s">
        <v>46</v>
      </c>
      <c r="Q28" s="326">
        <f>N10</f>
        <v>8.3333333333333339</v>
      </c>
      <c r="R28" s="20" t="s">
        <v>19</v>
      </c>
      <c r="S28" s="43"/>
      <c r="T28" s="44"/>
      <c r="U28" s="44"/>
      <c r="V28" s="44"/>
      <c r="W28" s="61"/>
      <c r="X28" s="61"/>
      <c r="Y28" s="61"/>
      <c r="Z28" s="61"/>
      <c r="AA28" s="61"/>
      <c r="AB28" s="79"/>
      <c r="AC28" s="80">
        <v>4</v>
      </c>
      <c r="AD28" s="70">
        <f>AC28*Q28</f>
        <v>33.333333333333336</v>
      </c>
    </row>
    <row r="29" spans="16:33" x14ac:dyDescent="0.25">
      <c r="P29" s="314"/>
      <c r="Q29" s="327"/>
      <c r="R29" s="21" t="s">
        <v>20</v>
      </c>
      <c r="S29" s="45"/>
      <c r="T29" s="46"/>
      <c r="U29" s="46"/>
      <c r="V29" s="46"/>
      <c r="W29" s="46"/>
      <c r="X29" s="46"/>
      <c r="Y29" s="62"/>
      <c r="Z29" s="62"/>
      <c r="AA29" s="62"/>
      <c r="AB29" s="72"/>
      <c r="AC29" s="73">
        <v>6</v>
      </c>
      <c r="AD29" s="71">
        <f>AC29*Q28</f>
        <v>50</v>
      </c>
    </row>
    <row r="30" spans="16:33" x14ac:dyDescent="0.25">
      <c r="P30" s="314"/>
      <c r="Q30" s="327"/>
      <c r="R30" s="21" t="s">
        <v>21</v>
      </c>
      <c r="S30" s="49"/>
      <c r="T30" s="50"/>
      <c r="U30" s="50"/>
      <c r="V30" s="50"/>
      <c r="W30" s="50"/>
      <c r="X30" s="50"/>
      <c r="Y30" s="50"/>
      <c r="Z30" s="50"/>
      <c r="AA30" s="62"/>
      <c r="AB30" s="72"/>
      <c r="AC30" s="73">
        <v>8</v>
      </c>
      <c r="AD30" s="71">
        <f>AC30*Q28</f>
        <v>66.666666666666671</v>
      </c>
    </row>
    <row r="31" spans="16:33" ht="15.75" thickBot="1" x14ac:dyDescent="0.3">
      <c r="P31" s="315"/>
      <c r="Q31" s="325"/>
      <c r="R31" s="22" t="s">
        <v>22</v>
      </c>
      <c r="S31" s="51"/>
      <c r="T31" s="52"/>
      <c r="U31" s="52"/>
      <c r="V31" s="52"/>
      <c r="W31" s="52"/>
      <c r="X31" s="52"/>
      <c r="Y31" s="52"/>
      <c r="Z31" s="52"/>
      <c r="AA31" s="64"/>
      <c r="AB31" s="78"/>
      <c r="AC31" s="74">
        <v>8</v>
      </c>
      <c r="AD31" s="81">
        <f>AC31*Q28</f>
        <v>66.666666666666671</v>
      </c>
    </row>
    <row r="32" spans="16:33" ht="15.75" customHeight="1" x14ac:dyDescent="0.25">
      <c r="P32" s="313" t="s">
        <v>2</v>
      </c>
      <c r="Q32" s="326">
        <f>N11</f>
        <v>16.666666666666668</v>
      </c>
      <c r="R32" s="20" t="s">
        <v>19</v>
      </c>
      <c r="S32" s="43"/>
      <c r="T32" s="44"/>
      <c r="U32" s="44"/>
      <c r="V32" s="44"/>
      <c r="W32" s="44"/>
      <c r="X32" s="44"/>
      <c r="Y32" s="44"/>
      <c r="Z32" s="61"/>
      <c r="AA32" s="61"/>
      <c r="AB32" s="79"/>
      <c r="AC32" s="80">
        <v>7</v>
      </c>
      <c r="AD32" s="70">
        <f>AC32*Q32</f>
        <v>116.66666666666667</v>
      </c>
    </row>
    <row r="33" spans="16:30" x14ac:dyDescent="0.25">
      <c r="P33" s="314"/>
      <c r="Q33" s="327"/>
      <c r="R33" s="21" t="s">
        <v>20</v>
      </c>
      <c r="S33" s="45"/>
      <c r="T33" s="46"/>
      <c r="U33" s="46"/>
      <c r="V33" s="46"/>
      <c r="W33" s="46"/>
      <c r="X33" s="46"/>
      <c r="Y33" s="46"/>
      <c r="Z33" s="46"/>
      <c r="AA33" s="62"/>
      <c r="AB33" s="72"/>
      <c r="AC33" s="73">
        <v>8</v>
      </c>
      <c r="AD33" s="71">
        <f>AC33*Q32</f>
        <v>133.33333333333334</v>
      </c>
    </row>
    <row r="34" spans="16:30" x14ac:dyDescent="0.25">
      <c r="P34" s="314"/>
      <c r="Q34" s="327"/>
      <c r="R34" s="21" t="s">
        <v>21</v>
      </c>
      <c r="S34" s="49"/>
      <c r="T34" s="50"/>
      <c r="U34" s="50"/>
      <c r="V34" s="50"/>
      <c r="W34" s="50"/>
      <c r="X34" s="50"/>
      <c r="Y34" s="50"/>
      <c r="Z34" s="50"/>
      <c r="AA34" s="50"/>
      <c r="AB34" s="72"/>
      <c r="AC34" s="73">
        <v>9</v>
      </c>
      <c r="AD34" s="71">
        <f>AC34*Q32</f>
        <v>150</v>
      </c>
    </row>
    <row r="35" spans="16:30" ht="15.75" thickBot="1" x14ac:dyDescent="0.3">
      <c r="P35" s="315"/>
      <c r="Q35" s="325"/>
      <c r="R35" s="22" t="s">
        <v>22</v>
      </c>
      <c r="S35" s="51"/>
      <c r="T35" s="52"/>
      <c r="U35" s="52"/>
      <c r="V35" s="52"/>
      <c r="W35" s="52"/>
      <c r="X35" s="52"/>
      <c r="Y35" s="52"/>
      <c r="Z35" s="52"/>
      <c r="AA35" s="52"/>
      <c r="AB35" s="55"/>
      <c r="AC35" s="74">
        <v>10</v>
      </c>
      <c r="AD35" s="81">
        <f>AC35*Q32</f>
        <v>166.66666666666669</v>
      </c>
    </row>
    <row r="36" spans="16:30" x14ac:dyDescent="0.25">
      <c r="P36" s="313" t="s">
        <v>75</v>
      </c>
      <c r="Q36" s="326">
        <f>N12</f>
        <v>19.444444444444443</v>
      </c>
      <c r="R36" s="20" t="s">
        <v>19</v>
      </c>
      <c r="S36" s="43"/>
      <c r="T36" s="44"/>
      <c r="U36" s="44"/>
      <c r="V36" s="44"/>
      <c r="W36" s="44"/>
      <c r="X36" s="44"/>
      <c r="Y36" s="44"/>
      <c r="Z36" s="44"/>
      <c r="AA36" s="61"/>
      <c r="AB36" s="79"/>
      <c r="AC36" s="80">
        <v>8</v>
      </c>
      <c r="AD36" s="70">
        <f>AC36*Q36</f>
        <v>155.55555555555554</v>
      </c>
    </row>
    <row r="37" spans="16:30" ht="15" customHeight="1" x14ac:dyDescent="0.25">
      <c r="P37" s="314"/>
      <c r="Q37" s="327"/>
      <c r="R37" s="21" t="s">
        <v>20</v>
      </c>
      <c r="S37" s="45"/>
      <c r="T37" s="46"/>
      <c r="U37" s="46"/>
      <c r="V37" s="46"/>
      <c r="W37" s="46"/>
      <c r="X37" s="46"/>
      <c r="Y37" s="46"/>
      <c r="Z37" s="46"/>
      <c r="AA37" s="62"/>
      <c r="AB37" s="72"/>
      <c r="AC37" s="73">
        <v>8</v>
      </c>
      <c r="AD37" s="71">
        <f>AC37*Q36</f>
        <v>155.55555555555554</v>
      </c>
    </row>
    <row r="38" spans="16:30" x14ac:dyDescent="0.25">
      <c r="P38" s="314"/>
      <c r="Q38" s="327"/>
      <c r="R38" s="21" t="s">
        <v>21</v>
      </c>
      <c r="S38" s="49"/>
      <c r="T38" s="50"/>
      <c r="U38" s="50"/>
      <c r="V38" s="50"/>
      <c r="W38" s="50"/>
      <c r="X38" s="50"/>
      <c r="Y38" s="50"/>
      <c r="Z38" s="50"/>
      <c r="AA38" s="50"/>
      <c r="AB38" s="72"/>
      <c r="AC38" s="73">
        <v>9</v>
      </c>
      <c r="AD38" s="71">
        <f>AC38*Q36</f>
        <v>175</v>
      </c>
    </row>
    <row r="39" spans="16:30" ht="15.75" thickBot="1" x14ac:dyDescent="0.3">
      <c r="P39" s="315"/>
      <c r="Q39" s="325"/>
      <c r="R39" s="22" t="s">
        <v>22</v>
      </c>
      <c r="S39" s="51"/>
      <c r="T39" s="52"/>
      <c r="U39" s="52"/>
      <c r="V39" s="52"/>
      <c r="W39" s="52"/>
      <c r="X39" s="52"/>
      <c r="Y39" s="52"/>
      <c r="Z39" s="52"/>
      <c r="AA39" s="52"/>
      <c r="AB39" s="78"/>
      <c r="AC39" s="74">
        <v>9</v>
      </c>
      <c r="AD39" s="81">
        <f>AC39*Q36</f>
        <v>175</v>
      </c>
    </row>
    <row r="40" spans="16:30" ht="15.75" thickBot="1" x14ac:dyDescent="0.3"/>
    <row r="41" spans="16:30" ht="15" customHeight="1" x14ac:dyDescent="0.25">
      <c r="P41" s="328" t="s">
        <v>34</v>
      </c>
      <c r="Q41" s="360"/>
      <c r="R41" s="352" t="s">
        <v>23</v>
      </c>
      <c r="S41" s="354" t="s">
        <v>35</v>
      </c>
      <c r="T41" s="355"/>
      <c r="U41" s="355"/>
      <c r="V41" s="356"/>
      <c r="W41" s="319" t="s">
        <v>103</v>
      </c>
      <c r="X41" s="320"/>
      <c r="Y41" s="320"/>
      <c r="Z41" s="321"/>
      <c r="AA41" s="319" t="s">
        <v>37</v>
      </c>
      <c r="AB41" s="320"/>
      <c r="AC41" s="321"/>
      <c r="AD41" s="352" t="s">
        <v>38</v>
      </c>
    </row>
    <row r="42" spans="16:30" ht="15.75" thickBot="1" x14ac:dyDescent="0.3">
      <c r="P42" s="315" t="s">
        <v>36</v>
      </c>
      <c r="Q42" s="333"/>
      <c r="R42" s="353"/>
      <c r="S42" s="357"/>
      <c r="T42" s="358"/>
      <c r="U42" s="358"/>
      <c r="V42" s="359"/>
      <c r="W42" s="322"/>
      <c r="X42" s="323"/>
      <c r="Y42" s="323"/>
      <c r="Z42" s="324"/>
      <c r="AA42" s="322"/>
      <c r="AB42" s="323"/>
      <c r="AC42" s="324"/>
      <c r="AD42" s="353"/>
    </row>
    <row r="43" spans="16:30" x14ac:dyDescent="0.25">
      <c r="P43" s="328" t="s">
        <v>19</v>
      </c>
      <c r="Q43" s="360"/>
      <c r="R43" s="41">
        <f>AD8+AD12+AD16+AD20+AD24+AD28+AD32</f>
        <v>613.88888888888891</v>
      </c>
      <c r="S43" s="361" t="s">
        <v>74</v>
      </c>
      <c r="T43" s="362"/>
      <c r="U43" s="362"/>
      <c r="V43" s="363"/>
      <c r="W43" s="308">
        <f>AG13/1000</f>
        <v>1.385</v>
      </c>
      <c r="X43" s="309"/>
      <c r="Y43" s="309"/>
      <c r="Z43" s="310"/>
      <c r="AA43" s="308">
        <f>R43/W43</f>
        <v>443.24107501002811</v>
      </c>
      <c r="AB43" s="309"/>
      <c r="AC43" s="310"/>
      <c r="AD43" s="127" t="s">
        <v>74</v>
      </c>
    </row>
    <row r="44" spans="16:30" x14ac:dyDescent="0.25">
      <c r="P44" s="297" t="s">
        <v>20</v>
      </c>
      <c r="Q44" s="298"/>
      <c r="R44" s="68">
        <f>AD9+AD13+AD17+AD21+AD25+AD29+AD33</f>
        <v>675.00000000000011</v>
      </c>
      <c r="S44" s="299">
        <f>R44-R43</f>
        <v>61.1111111111112</v>
      </c>
      <c r="T44" s="300"/>
      <c r="U44" s="300"/>
      <c r="V44" s="301"/>
      <c r="W44" s="299">
        <f>1.1*W43</f>
        <v>1.5235000000000001</v>
      </c>
      <c r="X44" s="300"/>
      <c r="Y44" s="300"/>
      <c r="Z44" s="301"/>
      <c r="AA44" s="299">
        <f t="shared" ref="AA44:AA46" si="1">R44/W44</f>
        <v>443.05874630784382</v>
      </c>
      <c r="AB44" s="300"/>
      <c r="AC44" s="301"/>
      <c r="AD44" s="122">
        <f>AA44-AA43</f>
        <v>-0.18232870218429298</v>
      </c>
    </row>
    <row r="45" spans="16:30" x14ac:dyDescent="0.25">
      <c r="P45" s="297" t="s">
        <v>21</v>
      </c>
      <c r="Q45" s="298"/>
      <c r="R45" s="68">
        <f>AD10+AD14+AD18+AD22+AD26+AD30+AD34</f>
        <v>716.66666666666674</v>
      </c>
      <c r="S45" s="299">
        <f t="shared" ref="S45:S46" si="2">R45-R44</f>
        <v>41.666666666666629</v>
      </c>
      <c r="T45" s="300"/>
      <c r="U45" s="300"/>
      <c r="V45" s="301"/>
      <c r="W45" s="299">
        <f>1.3*W43</f>
        <v>1.8005</v>
      </c>
      <c r="X45" s="300"/>
      <c r="Y45" s="300"/>
      <c r="Z45" s="301"/>
      <c r="AA45" s="299">
        <f t="shared" si="1"/>
        <v>398.03758215310569</v>
      </c>
      <c r="AB45" s="300"/>
      <c r="AC45" s="301"/>
      <c r="AD45" s="122">
        <f>AA45-AA44</f>
        <v>-45.02116415473813</v>
      </c>
    </row>
    <row r="46" spans="16:30" ht="15.75" thickBot="1" x14ac:dyDescent="0.3">
      <c r="P46" s="283" t="s">
        <v>22</v>
      </c>
      <c r="Q46" s="284"/>
      <c r="R46" s="82">
        <f>AD11+AD15+AD19+AD23+AD27+AD31+AD35</f>
        <v>752.77777777777783</v>
      </c>
      <c r="S46" s="285">
        <f t="shared" si="2"/>
        <v>36.111111111111086</v>
      </c>
      <c r="T46" s="286"/>
      <c r="U46" s="286"/>
      <c r="V46" s="287"/>
      <c r="W46" s="285">
        <f>1.5*W43</f>
        <v>2.0775000000000001</v>
      </c>
      <c r="X46" s="286"/>
      <c r="Y46" s="286"/>
      <c r="Z46" s="287"/>
      <c r="AA46" s="285">
        <f t="shared" si="1"/>
        <v>362.34790747426126</v>
      </c>
      <c r="AB46" s="286"/>
      <c r="AC46" s="287"/>
      <c r="AD46" s="125">
        <f>AA46-AA45</f>
        <v>-35.689674678844426</v>
      </c>
    </row>
  </sheetData>
  <mergeCells count="59">
    <mergeCell ref="B9:F9"/>
    <mergeCell ref="B10:G10"/>
    <mergeCell ref="N2:N3"/>
    <mergeCell ref="L4:N4"/>
    <mergeCell ref="B6:C6"/>
    <mergeCell ref="B7:D7"/>
    <mergeCell ref="B8:E8"/>
    <mergeCell ref="B12:I12"/>
    <mergeCell ref="B2:J4"/>
    <mergeCell ref="P2:AD5"/>
    <mergeCell ref="P6:P7"/>
    <mergeCell ref="Q6:Q7"/>
    <mergeCell ref="R6:R7"/>
    <mergeCell ref="S6:AB6"/>
    <mergeCell ref="AD6:AD7"/>
    <mergeCell ref="AC6:AC7"/>
    <mergeCell ref="P8:P11"/>
    <mergeCell ref="Q8:Q11"/>
    <mergeCell ref="P12:P15"/>
    <mergeCell ref="Q12:Q15"/>
    <mergeCell ref="B11:H11"/>
    <mergeCell ref="L2:L3"/>
    <mergeCell ref="M2:M3"/>
    <mergeCell ref="P43:Q43"/>
    <mergeCell ref="S43:V43"/>
    <mergeCell ref="AD41:AD42"/>
    <mergeCell ref="P42:Q42"/>
    <mergeCell ref="P20:P23"/>
    <mergeCell ref="Q20:Q23"/>
    <mergeCell ref="P24:P27"/>
    <mergeCell ref="Q24:Q27"/>
    <mergeCell ref="P28:P31"/>
    <mergeCell ref="Q28:Q31"/>
    <mergeCell ref="P36:P39"/>
    <mergeCell ref="Q36:Q39"/>
    <mergeCell ref="P32:P35"/>
    <mergeCell ref="Q32:Q35"/>
    <mergeCell ref="P41:Q41"/>
    <mergeCell ref="Q16:Q19"/>
    <mergeCell ref="R41:R42"/>
    <mergeCell ref="S41:V42"/>
    <mergeCell ref="W41:Z42"/>
    <mergeCell ref="AA41:AC42"/>
    <mergeCell ref="AF12:AG12"/>
    <mergeCell ref="AA45:AC45"/>
    <mergeCell ref="W46:Z46"/>
    <mergeCell ref="AA46:AC46"/>
    <mergeCell ref="P44:Q44"/>
    <mergeCell ref="S44:V44"/>
    <mergeCell ref="P46:Q46"/>
    <mergeCell ref="S46:V46"/>
    <mergeCell ref="P45:Q45"/>
    <mergeCell ref="S45:V45"/>
    <mergeCell ref="W45:Z45"/>
    <mergeCell ref="W43:Z43"/>
    <mergeCell ref="AA43:AC43"/>
    <mergeCell ref="W44:Z44"/>
    <mergeCell ref="AA44:AC44"/>
    <mergeCell ref="P16:P19"/>
  </mergeCells>
  <pageMargins left="0.1" right="0.1" top="0.1" bottom="0.1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zoomScale="70" zoomScaleNormal="70" zoomScaleSheetLayoutView="55" workbookViewId="0"/>
  </sheetViews>
  <sheetFormatPr defaultRowHeight="15" x14ac:dyDescent="0.25"/>
  <cols>
    <col min="2" max="2" width="37.7109375" bestFit="1" customWidth="1"/>
    <col min="3" max="6" width="3.5703125" customWidth="1"/>
    <col min="8" max="8" width="6" bestFit="1" customWidth="1"/>
    <col min="10" max="10" width="10.5703125" customWidth="1"/>
    <col min="11" max="11" width="14.85546875" bestFit="1" customWidth="1"/>
    <col min="12" max="12" width="9.28515625" customWidth="1"/>
    <col min="13" max="13" width="20.7109375" bestFit="1" customWidth="1"/>
    <col min="14" max="23" width="3.5703125" customWidth="1"/>
    <col min="24" max="24" width="9.140625" customWidth="1"/>
    <col min="25" max="25" width="13.28515625" bestFit="1" customWidth="1"/>
    <col min="27" max="27" width="20.5703125" bestFit="1" customWidth="1"/>
    <col min="28" max="28" width="11.7109375" bestFit="1" customWidth="1"/>
  </cols>
  <sheetData>
    <row r="1" spans="2:28" ht="15.75" thickBot="1" x14ac:dyDescent="0.3"/>
    <row r="2" spans="2:28" ht="15" customHeight="1" x14ac:dyDescent="0.25">
      <c r="B2" s="288" t="s">
        <v>56</v>
      </c>
      <c r="C2" s="289"/>
      <c r="D2" s="289"/>
      <c r="E2" s="290"/>
      <c r="F2" s="38"/>
      <c r="G2" s="311" t="s">
        <v>41</v>
      </c>
      <c r="H2" s="341" t="s">
        <v>0</v>
      </c>
      <c r="I2" s="341" t="s">
        <v>14</v>
      </c>
      <c r="J2" s="38"/>
      <c r="K2" s="288" t="s">
        <v>57</v>
      </c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90"/>
    </row>
    <row r="3" spans="2:28" ht="15.75" thickBot="1" x14ac:dyDescent="0.3">
      <c r="B3" s="291"/>
      <c r="C3" s="292"/>
      <c r="D3" s="292"/>
      <c r="E3" s="293"/>
      <c r="F3" s="38"/>
      <c r="G3" s="325"/>
      <c r="H3" s="325"/>
      <c r="I3" s="325"/>
      <c r="J3" s="38"/>
      <c r="K3" s="291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3"/>
    </row>
    <row r="4" spans="2:28" ht="15.75" thickBot="1" x14ac:dyDescent="0.3">
      <c r="B4" s="294"/>
      <c r="C4" s="295"/>
      <c r="D4" s="295"/>
      <c r="E4" s="296"/>
      <c r="F4" s="38"/>
      <c r="G4" s="342"/>
      <c r="H4" s="343"/>
      <c r="I4" s="336"/>
      <c r="J4" s="38"/>
      <c r="K4" s="291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3"/>
      <c r="AA4" s="342">
        <v>2013</v>
      </c>
      <c r="AB4" s="365"/>
    </row>
    <row r="5" spans="2:28" ht="15.75" thickBot="1" x14ac:dyDescent="0.3">
      <c r="B5" s="32" t="s">
        <v>50</v>
      </c>
      <c r="C5" s="5" t="s">
        <v>6</v>
      </c>
      <c r="D5" s="6" t="s">
        <v>70</v>
      </c>
      <c r="E5" s="7" t="s">
        <v>6</v>
      </c>
      <c r="F5" s="33"/>
      <c r="G5" s="35" t="s">
        <v>6</v>
      </c>
      <c r="H5" s="15">
        <v>2.5</v>
      </c>
      <c r="I5" s="41">
        <f>H5*100/T_ATC</f>
        <v>41.666666666666664</v>
      </c>
      <c r="J5" s="33"/>
      <c r="K5" s="294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6"/>
      <c r="AA5" s="91" t="s">
        <v>15</v>
      </c>
      <c r="AB5" s="91" t="s">
        <v>83</v>
      </c>
    </row>
    <row r="6" spans="2:28" ht="15.75" thickBot="1" x14ac:dyDescent="0.3">
      <c r="B6" s="344" t="s">
        <v>51</v>
      </c>
      <c r="C6" s="345"/>
      <c r="D6" s="1" t="s">
        <v>7</v>
      </c>
      <c r="E6" s="3" t="s">
        <v>7</v>
      </c>
      <c r="F6" s="33"/>
      <c r="G6" s="29" t="s">
        <v>7</v>
      </c>
      <c r="H6" s="17">
        <v>2.5</v>
      </c>
      <c r="I6" s="68">
        <f>H6*100/T_ATC</f>
        <v>41.666666666666664</v>
      </c>
      <c r="J6" s="33"/>
      <c r="K6" s="328" t="s">
        <v>15</v>
      </c>
      <c r="L6" s="311" t="s">
        <v>31</v>
      </c>
      <c r="M6" s="329" t="s">
        <v>32</v>
      </c>
      <c r="N6" s="307" t="s">
        <v>18</v>
      </c>
      <c r="O6" s="303"/>
      <c r="P6" s="303"/>
      <c r="Q6" s="303"/>
      <c r="R6" s="303"/>
      <c r="S6" s="303"/>
      <c r="T6" s="303"/>
      <c r="U6" s="303"/>
      <c r="V6" s="303"/>
      <c r="W6" s="331"/>
      <c r="X6" s="334" t="s">
        <v>79</v>
      </c>
      <c r="Y6" s="332" t="s">
        <v>23</v>
      </c>
      <c r="AA6" s="97"/>
      <c r="AB6" s="137"/>
    </row>
    <row r="7" spans="2:28" ht="15.75" thickBot="1" x14ac:dyDescent="0.3">
      <c r="B7" s="346" t="s">
        <v>52</v>
      </c>
      <c r="C7" s="347"/>
      <c r="D7" s="348"/>
      <c r="E7" s="1" t="s">
        <v>8</v>
      </c>
      <c r="F7" s="33"/>
      <c r="G7" s="30" t="s">
        <v>8</v>
      </c>
      <c r="H7" s="16">
        <v>1</v>
      </c>
      <c r="I7" s="82">
        <f>H7*100/T_ATC</f>
        <v>16.666666666666668</v>
      </c>
      <c r="J7" s="33"/>
      <c r="K7" s="315"/>
      <c r="L7" s="325"/>
      <c r="M7" s="330"/>
      <c r="N7" s="26">
        <v>1</v>
      </c>
      <c r="O7" s="12">
        <v>2</v>
      </c>
      <c r="P7" s="12">
        <v>3</v>
      </c>
      <c r="Q7" s="12">
        <v>4</v>
      </c>
      <c r="R7" s="12">
        <v>5</v>
      </c>
      <c r="S7" s="12">
        <v>6</v>
      </c>
      <c r="T7" s="12">
        <v>7</v>
      </c>
      <c r="U7" s="12">
        <v>8</v>
      </c>
      <c r="V7" s="12">
        <v>9</v>
      </c>
      <c r="W7" s="13">
        <v>10</v>
      </c>
      <c r="X7" s="318"/>
      <c r="Y7" s="333"/>
      <c r="AA7" s="98" t="s">
        <v>85</v>
      </c>
      <c r="AB7" s="138">
        <v>161.19499999999999</v>
      </c>
    </row>
    <row r="8" spans="2:28" ht="15.75" thickBot="1" x14ac:dyDescent="0.3">
      <c r="K8" s="313" t="s">
        <v>53</v>
      </c>
      <c r="L8" s="326">
        <f>I5</f>
        <v>41.666666666666664</v>
      </c>
      <c r="M8" s="20" t="s">
        <v>19</v>
      </c>
      <c r="N8" s="43"/>
      <c r="O8" s="44"/>
      <c r="P8" s="44"/>
      <c r="Q8" s="44"/>
      <c r="R8" s="44"/>
      <c r="S8" s="44"/>
      <c r="T8" s="44"/>
      <c r="U8" s="44"/>
      <c r="V8" s="61"/>
      <c r="W8" s="79"/>
      <c r="X8" s="80">
        <v>8</v>
      </c>
      <c r="Y8" s="84">
        <f>X8*L8</f>
        <v>333.33333333333331</v>
      </c>
      <c r="AA8" s="69" t="s">
        <v>84</v>
      </c>
      <c r="AB8" s="139">
        <v>4.4109999999999996</v>
      </c>
    </row>
    <row r="9" spans="2:28" ht="15.75" thickBot="1" x14ac:dyDescent="0.3">
      <c r="G9" s="34"/>
      <c r="H9" s="34">
        <f>SUM(H5:H7)</f>
        <v>6</v>
      </c>
      <c r="I9" s="42">
        <f>SUM(I5:I7)</f>
        <v>100</v>
      </c>
      <c r="K9" s="314"/>
      <c r="L9" s="327"/>
      <c r="M9" s="21" t="s">
        <v>20</v>
      </c>
      <c r="N9" s="45"/>
      <c r="O9" s="46"/>
      <c r="P9" s="46"/>
      <c r="Q9" s="46"/>
      <c r="R9" s="46"/>
      <c r="S9" s="46"/>
      <c r="T9" s="46"/>
      <c r="U9" s="46"/>
      <c r="V9" s="62"/>
      <c r="W9" s="72"/>
      <c r="X9" s="73">
        <v>8</v>
      </c>
      <c r="Y9" s="83">
        <f>X9*L8</f>
        <v>333.33333333333331</v>
      </c>
      <c r="AA9" s="350"/>
      <c r="AB9" s="351"/>
    </row>
    <row r="10" spans="2:28" ht="15.75" thickBot="1" x14ac:dyDescent="0.3">
      <c r="G10" s="34"/>
      <c r="H10" s="34"/>
      <c r="I10" s="34"/>
      <c r="K10" s="314"/>
      <c r="L10" s="327"/>
      <c r="M10" s="21" t="s">
        <v>21</v>
      </c>
      <c r="N10" s="49"/>
      <c r="O10" s="50"/>
      <c r="P10" s="50"/>
      <c r="Q10" s="50"/>
      <c r="R10" s="50"/>
      <c r="S10" s="50"/>
      <c r="T10" s="50"/>
      <c r="U10" s="62"/>
      <c r="V10" s="62"/>
      <c r="W10" s="72"/>
      <c r="X10" s="73">
        <v>7</v>
      </c>
      <c r="Y10" s="83">
        <f>X10*L8</f>
        <v>291.66666666666663</v>
      </c>
      <c r="AA10" s="96" t="s">
        <v>0</v>
      </c>
      <c r="AB10" s="140">
        <f>AB7+AB8</f>
        <v>165.60599999999999</v>
      </c>
    </row>
    <row r="11" spans="2:28" ht="15.75" thickBot="1" x14ac:dyDescent="0.3">
      <c r="G11" s="34"/>
      <c r="H11" s="34"/>
      <c r="I11" s="34"/>
      <c r="K11" s="315"/>
      <c r="L11" s="325"/>
      <c r="M11" s="22" t="s">
        <v>22</v>
      </c>
      <c r="N11" s="51"/>
      <c r="O11" s="52"/>
      <c r="P11" s="52"/>
      <c r="Q11" s="52"/>
      <c r="R11" s="52"/>
      <c r="S11" s="52"/>
      <c r="T11" s="52"/>
      <c r="U11" s="64"/>
      <c r="V11" s="64"/>
      <c r="W11" s="78"/>
      <c r="X11" s="74">
        <v>7</v>
      </c>
      <c r="Y11" s="81">
        <f>X11*L8</f>
        <v>291.66666666666663</v>
      </c>
    </row>
    <row r="12" spans="2:28" x14ac:dyDescent="0.25">
      <c r="K12" s="313" t="s">
        <v>54</v>
      </c>
      <c r="L12" s="326">
        <f>I6</f>
        <v>41.666666666666664</v>
      </c>
      <c r="M12" s="20" t="s">
        <v>19</v>
      </c>
      <c r="N12" s="43"/>
      <c r="O12" s="44"/>
      <c r="P12" s="44"/>
      <c r="Q12" s="44"/>
      <c r="R12" s="44"/>
      <c r="S12" s="44"/>
      <c r="T12" s="61"/>
      <c r="U12" s="61"/>
      <c r="V12" s="61"/>
      <c r="W12" s="79"/>
      <c r="X12" s="80">
        <v>6</v>
      </c>
      <c r="Y12" s="84">
        <f>X12*L12</f>
        <v>250</v>
      </c>
    </row>
    <row r="13" spans="2:28" x14ac:dyDescent="0.25">
      <c r="K13" s="314"/>
      <c r="L13" s="327"/>
      <c r="M13" s="21" t="s">
        <v>20</v>
      </c>
      <c r="N13" s="45"/>
      <c r="O13" s="46"/>
      <c r="P13" s="46"/>
      <c r="Q13" s="46"/>
      <c r="R13" s="46"/>
      <c r="S13" s="46"/>
      <c r="T13" s="46"/>
      <c r="U13" s="62"/>
      <c r="V13" s="62"/>
      <c r="W13" s="72"/>
      <c r="X13" s="73">
        <v>7</v>
      </c>
      <c r="Y13" s="83">
        <f>X13*L12</f>
        <v>291.66666666666663</v>
      </c>
    </row>
    <row r="14" spans="2:28" x14ac:dyDescent="0.25">
      <c r="K14" s="314"/>
      <c r="L14" s="327"/>
      <c r="M14" s="21" t="s">
        <v>21</v>
      </c>
      <c r="N14" s="49"/>
      <c r="O14" s="50"/>
      <c r="P14" s="50"/>
      <c r="Q14" s="50"/>
      <c r="R14" s="50"/>
      <c r="S14" s="50"/>
      <c r="T14" s="50"/>
      <c r="U14" s="50"/>
      <c r="V14" s="62"/>
      <c r="W14" s="72"/>
      <c r="X14" s="73">
        <v>8</v>
      </c>
      <c r="Y14" s="83">
        <f>X14*L12</f>
        <v>333.33333333333331</v>
      </c>
    </row>
    <row r="15" spans="2:28" ht="15.75" thickBot="1" x14ac:dyDescent="0.3">
      <c r="K15" s="315"/>
      <c r="L15" s="325"/>
      <c r="M15" s="22" t="s">
        <v>22</v>
      </c>
      <c r="N15" s="51"/>
      <c r="O15" s="52"/>
      <c r="P15" s="52"/>
      <c r="Q15" s="52"/>
      <c r="R15" s="52"/>
      <c r="S15" s="52"/>
      <c r="T15" s="52"/>
      <c r="U15" s="52"/>
      <c r="V15" s="64"/>
      <c r="W15" s="78"/>
      <c r="X15" s="74">
        <v>8</v>
      </c>
      <c r="Y15" s="81">
        <f>X15*L12</f>
        <v>333.33333333333331</v>
      </c>
    </row>
    <row r="16" spans="2:28" x14ac:dyDescent="0.25">
      <c r="K16" s="313" t="s">
        <v>55</v>
      </c>
      <c r="L16" s="326">
        <f>I7</f>
        <v>16.666666666666668</v>
      </c>
      <c r="M16" s="20" t="s">
        <v>19</v>
      </c>
      <c r="N16" s="43"/>
      <c r="O16" s="44"/>
      <c r="P16" s="44"/>
      <c r="Q16" s="44"/>
      <c r="R16" s="44"/>
      <c r="S16" s="44"/>
      <c r="T16" s="61"/>
      <c r="U16" s="61"/>
      <c r="V16" s="61"/>
      <c r="W16" s="79"/>
      <c r="X16" s="80">
        <v>6</v>
      </c>
      <c r="Y16" s="84">
        <f>X16*L16</f>
        <v>100</v>
      </c>
    </row>
    <row r="17" spans="11:25" x14ac:dyDescent="0.25">
      <c r="K17" s="314"/>
      <c r="L17" s="327"/>
      <c r="M17" s="21" t="s">
        <v>20</v>
      </c>
      <c r="N17" s="45"/>
      <c r="O17" s="46"/>
      <c r="P17" s="46"/>
      <c r="Q17" s="46"/>
      <c r="R17" s="46"/>
      <c r="S17" s="46"/>
      <c r="T17" s="46"/>
      <c r="U17" s="62"/>
      <c r="V17" s="62"/>
      <c r="W17" s="72"/>
      <c r="X17" s="73">
        <v>7</v>
      </c>
      <c r="Y17" s="83">
        <f>X17*L16</f>
        <v>116.66666666666667</v>
      </c>
    </row>
    <row r="18" spans="11:25" x14ac:dyDescent="0.25">
      <c r="K18" s="314"/>
      <c r="L18" s="327"/>
      <c r="M18" s="21" t="s">
        <v>21</v>
      </c>
      <c r="N18" s="49"/>
      <c r="O18" s="50"/>
      <c r="P18" s="50"/>
      <c r="Q18" s="50"/>
      <c r="R18" s="50"/>
      <c r="S18" s="50"/>
      <c r="T18" s="50"/>
      <c r="U18" s="50"/>
      <c r="V18" s="62"/>
      <c r="W18" s="72"/>
      <c r="X18" s="73">
        <v>8</v>
      </c>
      <c r="Y18" s="83">
        <f>X18*L16</f>
        <v>133.33333333333334</v>
      </c>
    </row>
    <row r="19" spans="11:25" ht="15.75" thickBot="1" x14ac:dyDescent="0.3">
      <c r="K19" s="315"/>
      <c r="L19" s="325"/>
      <c r="M19" s="22" t="s">
        <v>22</v>
      </c>
      <c r="N19" s="51"/>
      <c r="O19" s="52"/>
      <c r="P19" s="52"/>
      <c r="Q19" s="52"/>
      <c r="R19" s="52"/>
      <c r="S19" s="52"/>
      <c r="T19" s="52"/>
      <c r="U19" s="52"/>
      <c r="V19" s="52"/>
      <c r="W19" s="78"/>
      <c r="X19" s="74">
        <v>9</v>
      </c>
      <c r="Y19" s="81">
        <f>X19*L16</f>
        <v>150</v>
      </c>
    </row>
    <row r="20" spans="11:25" ht="15.75" thickBot="1" x14ac:dyDescent="0.3"/>
    <row r="21" spans="11:25" ht="15" customHeight="1" x14ac:dyDescent="0.25">
      <c r="K21" s="307" t="s">
        <v>34</v>
      </c>
      <c r="L21" s="304"/>
      <c r="M21" s="311" t="s">
        <v>23</v>
      </c>
      <c r="N21" s="302" t="s">
        <v>35</v>
      </c>
      <c r="O21" s="303"/>
      <c r="P21" s="303"/>
      <c r="Q21" s="304"/>
      <c r="R21" s="319" t="s">
        <v>86</v>
      </c>
      <c r="S21" s="320"/>
      <c r="T21" s="320"/>
      <c r="U21" s="321"/>
      <c r="V21" s="319" t="s">
        <v>37</v>
      </c>
      <c r="W21" s="320"/>
      <c r="X21" s="321"/>
      <c r="Y21" s="311" t="s">
        <v>38</v>
      </c>
    </row>
    <row r="22" spans="11:25" ht="15.75" thickBot="1" x14ac:dyDescent="0.3">
      <c r="K22" s="283" t="s">
        <v>36</v>
      </c>
      <c r="L22" s="284"/>
      <c r="M22" s="312"/>
      <c r="N22" s="305"/>
      <c r="O22" s="306"/>
      <c r="P22" s="306"/>
      <c r="Q22" s="284"/>
      <c r="R22" s="322"/>
      <c r="S22" s="323"/>
      <c r="T22" s="323"/>
      <c r="U22" s="324"/>
      <c r="V22" s="322"/>
      <c r="W22" s="323"/>
      <c r="X22" s="324"/>
      <c r="Y22" s="325"/>
    </row>
    <row r="23" spans="11:25" x14ac:dyDescent="0.25">
      <c r="K23" s="307" t="s">
        <v>19</v>
      </c>
      <c r="L23" s="304"/>
      <c r="M23" s="41">
        <f>Y8+Y12+Y16</f>
        <v>683.33333333333326</v>
      </c>
      <c r="N23" s="307" t="s">
        <v>74</v>
      </c>
      <c r="O23" s="303"/>
      <c r="P23" s="303"/>
      <c r="Q23" s="331"/>
      <c r="R23" s="308">
        <f>AB10</f>
        <v>165.60599999999999</v>
      </c>
      <c r="S23" s="309"/>
      <c r="T23" s="309"/>
      <c r="U23" s="310"/>
      <c r="V23" s="308">
        <f>M23/R23</f>
        <v>4.1262595155570043</v>
      </c>
      <c r="W23" s="309"/>
      <c r="X23" s="310"/>
      <c r="Y23" s="127" t="s">
        <v>74</v>
      </c>
    </row>
    <row r="24" spans="11:25" x14ac:dyDescent="0.25">
      <c r="K24" s="297" t="s">
        <v>20</v>
      </c>
      <c r="L24" s="298"/>
      <c r="M24" s="68">
        <f t="shared" ref="M24:M26" si="0">Y9+Y13+Y17</f>
        <v>741.66666666666663</v>
      </c>
      <c r="N24" s="299">
        <f>M24-M23</f>
        <v>58.333333333333371</v>
      </c>
      <c r="O24" s="300"/>
      <c r="P24" s="300"/>
      <c r="Q24" s="301"/>
      <c r="R24" s="299">
        <f>1.1*R23</f>
        <v>182.16660000000002</v>
      </c>
      <c r="S24" s="300"/>
      <c r="T24" s="300"/>
      <c r="U24" s="301"/>
      <c r="V24" s="299">
        <f t="shared" ref="V24:V26" si="1">M24/R24</f>
        <v>4.0713647104719888</v>
      </c>
      <c r="W24" s="300"/>
      <c r="X24" s="301"/>
      <c r="Y24" s="122">
        <f>V24-V23</f>
        <v>-5.4894805085015541E-2</v>
      </c>
    </row>
    <row r="25" spans="11:25" x14ac:dyDescent="0.25">
      <c r="K25" s="297" t="s">
        <v>21</v>
      </c>
      <c r="L25" s="298"/>
      <c r="M25" s="68">
        <f t="shared" si="0"/>
        <v>758.33333333333337</v>
      </c>
      <c r="N25" s="299">
        <f t="shared" ref="N25:N26" si="2">M25-M24</f>
        <v>16.666666666666742</v>
      </c>
      <c r="O25" s="300"/>
      <c r="P25" s="300"/>
      <c r="Q25" s="301"/>
      <c r="R25" s="299">
        <f>1.3*R23</f>
        <v>215.2878</v>
      </c>
      <c r="S25" s="300"/>
      <c r="T25" s="300"/>
      <c r="U25" s="301"/>
      <c r="V25" s="299">
        <f t="shared" si="1"/>
        <v>3.5224166596218334</v>
      </c>
      <c r="W25" s="300"/>
      <c r="X25" s="301"/>
      <c r="Y25" s="122">
        <f>V25-V24</f>
        <v>-0.54894805085015541</v>
      </c>
    </row>
    <row r="26" spans="11:25" ht="15.75" thickBot="1" x14ac:dyDescent="0.3">
      <c r="K26" s="283" t="s">
        <v>22</v>
      </c>
      <c r="L26" s="284"/>
      <c r="M26" s="82">
        <f t="shared" si="0"/>
        <v>775</v>
      </c>
      <c r="N26" s="285">
        <f t="shared" si="2"/>
        <v>16.666666666666629</v>
      </c>
      <c r="O26" s="286"/>
      <c r="P26" s="286"/>
      <c r="Q26" s="287"/>
      <c r="R26" s="285">
        <f>1.5*R23</f>
        <v>248.40899999999999</v>
      </c>
      <c r="S26" s="286"/>
      <c r="T26" s="286"/>
      <c r="U26" s="287"/>
      <c r="V26" s="285">
        <f t="shared" si="1"/>
        <v>3.1198547556650524</v>
      </c>
      <c r="W26" s="286"/>
      <c r="X26" s="287"/>
      <c r="Y26" s="125">
        <f>V26-V25</f>
        <v>-0.40256190395678093</v>
      </c>
    </row>
  </sheetData>
  <mergeCells count="45">
    <mergeCell ref="AA4:AB4"/>
    <mergeCell ref="AA9:AB9"/>
    <mergeCell ref="B7:D7"/>
    <mergeCell ref="B2:E4"/>
    <mergeCell ref="K2:Y5"/>
    <mergeCell ref="K6:K7"/>
    <mergeCell ref="L6:L7"/>
    <mergeCell ref="M6:M7"/>
    <mergeCell ref="N6:W6"/>
    <mergeCell ref="Y6:Y7"/>
    <mergeCell ref="G2:G3"/>
    <mergeCell ref="H2:H3"/>
    <mergeCell ref="I2:I3"/>
    <mergeCell ref="G4:I4"/>
    <mergeCell ref="B6:C6"/>
    <mergeCell ref="X6:X7"/>
    <mergeCell ref="Y21:Y22"/>
    <mergeCell ref="K22:L22"/>
    <mergeCell ref="K8:K11"/>
    <mergeCell ref="L8:L11"/>
    <mergeCell ref="K12:K15"/>
    <mergeCell ref="L12:L15"/>
    <mergeCell ref="K16:K19"/>
    <mergeCell ref="L16:L19"/>
    <mergeCell ref="K21:L21"/>
    <mergeCell ref="M21:M22"/>
    <mergeCell ref="N21:Q22"/>
    <mergeCell ref="R21:U22"/>
    <mergeCell ref="V21:X22"/>
    <mergeCell ref="R23:U23"/>
    <mergeCell ref="V23:X23"/>
    <mergeCell ref="R24:U24"/>
    <mergeCell ref="V24:X24"/>
    <mergeCell ref="K23:L23"/>
    <mergeCell ref="N23:Q23"/>
    <mergeCell ref="K24:L24"/>
    <mergeCell ref="N24:Q24"/>
    <mergeCell ref="K26:L26"/>
    <mergeCell ref="N26:Q26"/>
    <mergeCell ref="R25:U25"/>
    <mergeCell ref="V25:X25"/>
    <mergeCell ref="R26:U26"/>
    <mergeCell ref="V26:X26"/>
    <mergeCell ref="K25:L25"/>
    <mergeCell ref="N25:Q25"/>
  </mergeCells>
  <pageMargins left="0.1" right="0.1" top="0.1" bottom="0.1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3"/>
  <sheetViews>
    <sheetView zoomScale="70" zoomScaleNormal="70" workbookViewId="0"/>
  </sheetViews>
  <sheetFormatPr defaultRowHeight="15" x14ac:dyDescent="0.25"/>
  <cols>
    <col min="2" max="2" width="20.7109375" customWidth="1"/>
    <col min="3" max="9" width="3.5703125" customWidth="1"/>
    <col min="12" max="12" width="6.5703125" bestFit="1" customWidth="1"/>
    <col min="13" max="13" width="8.140625" bestFit="1" customWidth="1"/>
    <col min="15" max="15" width="14.7109375" bestFit="1" customWidth="1"/>
    <col min="16" max="16" width="10.28515625" bestFit="1" customWidth="1"/>
    <col min="17" max="17" width="21.42578125" bestFit="1" customWidth="1"/>
    <col min="18" max="27" width="3.5703125" customWidth="1"/>
    <col min="28" max="28" width="9.140625" customWidth="1"/>
    <col min="29" max="29" width="13.42578125" bestFit="1" customWidth="1"/>
  </cols>
  <sheetData>
    <row r="1" spans="2:33" ht="15.75" thickBot="1" x14ac:dyDescent="0.3"/>
    <row r="2" spans="2:33" ht="15" customHeight="1" x14ac:dyDescent="0.25">
      <c r="B2" s="288" t="s">
        <v>58</v>
      </c>
      <c r="C2" s="289"/>
      <c r="D2" s="289"/>
      <c r="E2" s="289"/>
      <c r="F2" s="289"/>
      <c r="G2" s="289"/>
      <c r="H2" s="289"/>
      <c r="I2" s="290"/>
      <c r="J2" s="75"/>
      <c r="K2" s="311" t="s">
        <v>41</v>
      </c>
      <c r="L2" s="341" t="s">
        <v>0</v>
      </c>
      <c r="M2" s="341" t="s">
        <v>14</v>
      </c>
      <c r="O2" s="288" t="s">
        <v>78</v>
      </c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90"/>
      <c r="AF2" s="34"/>
      <c r="AG2" s="34"/>
    </row>
    <row r="3" spans="2:33" ht="15.75" thickBot="1" x14ac:dyDescent="0.3">
      <c r="B3" s="291"/>
      <c r="C3" s="292"/>
      <c r="D3" s="292"/>
      <c r="E3" s="292"/>
      <c r="F3" s="292"/>
      <c r="G3" s="292"/>
      <c r="H3" s="292"/>
      <c r="I3" s="293"/>
      <c r="J3" s="75"/>
      <c r="K3" s="325"/>
      <c r="L3" s="325"/>
      <c r="M3" s="325"/>
      <c r="O3" s="291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3"/>
      <c r="AF3" s="34"/>
      <c r="AG3" s="34"/>
    </row>
    <row r="4" spans="2:33" ht="15.75" thickBot="1" x14ac:dyDescent="0.3">
      <c r="B4" s="294"/>
      <c r="C4" s="295"/>
      <c r="D4" s="295"/>
      <c r="E4" s="295"/>
      <c r="F4" s="295"/>
      <c r="G4" s="295"/>
      <c r="H4" s="295"/>
      <c r="I4" s="296"/>
      <c r="J4" s="75"/>
      <c r="K4" s="342"/>
      <c r="L4" s="343"/>
      <c r="M4" s="336"/>
      <c r="O4" s="291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3"/>
      <c r="AF4" s="34"/>
      <c r="AG4" s="34"/>
    </row>
    <row r="5" spans="2:33" ht="15.75" thickBot="1" x14ac:dyDescent="0.3">
      <c r="B5" s="32" t="s">
        <v>44</v>
      </c>
      <c r="C5" s="5" t="s">
        <v>6</v>
      </c>
      <c r="D5" s="6" t="s">
        <v>6</v>
      </c>
      <c r="E5" s="7" t="s">
        <v>6</v>
      </c>
      <c r="F5" s="7" t="s">
        <v>6</v>
      </c>
      <c r="G5" s="7" t="s">
        <v>6</v>
      </c>
      <c r="H5" s="7" t="s">
        <v>71</v>
      </c>
      <c r="I5" s="7" t="s">
        <v>6</v>
      </c>
      <c r="J5" s="75"/>
      <c r="K5" s="35" t="s">
        <v>6</v>
      </c>
      <c r="L5" s="15">
        <v>6.5</v>
      </c>
      <c r="M5" s="41">
        <f t="shared" ref="M5:M11" si="0">L5*100/T_LC</f>
        <v>23.214285714285715</v>
      </c>
      <c r="O5" s="294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6"/>
      <c r="AF5" s="34"/>
      <c r="AG5" s="34"/>
    </row>
    <row r="6" spans="2:33" ht="15.75" thickBot="1" x14ac:dyDescent="0.3">
      <c r="B6" s="344" t="s">
        <v>5</v>
      </c>
      <c r="C6" s="345"/>
      <c r="D6" s="1" t="s">
        <v>7</v>
      </c>
      <c r="E6" s="3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75"/>
      <c r="K6" s="29" t="s">
        <v>7</v>
      </c>
      <c r="L6" s="17">
        <v>1</v>
      </c>
      <c r="M6" s="68">
        <f t="shared" si="0"/>
        <v>3.5714285714285716</v>
      </c>
      <c r="O6" s="328" t="s">
        <v>15</v>
      </c>
      <c r="P6" s="311" t="s">
        <v>31</v>
      </c>
      <c r="Q6" s="329" t="s">
        <v>32</v>
      </c>
      <c r="R6" s="307" t="s">
        <v>18</v>
      </c>
      <c r="S6" s="303"/>
      <c r="T6" s="303"/>
      <c r="U6" s="303"/>
      <c r="V6" s="303"/>
      <c r="W6" s="303"/>
      <c r="X6" s="303"/>
      <c r="Y6" s="303"/>
      <c r="Z6" s="303"/>
      <c r="AA6" s="304"/>
      <c r="AB6" s="334" t="s">
        <v>79</v>
      </c>
      <c r="AC6" s="332" t="s">
        <v>23</v>
      </c>
      <c r="AF6" s="34"/>
      <c r="AG6" s="34"/>
    </row>
    <row r="7" spans="2:33" ht="15.75" thickBot="1" x14ac:dyDescent="0.3">
      <c r="B7" s="346" t="s">
        <v>39</v>
      </c>
      <c r="C7" s="347"/>
      <c r="D7" s="348"/>
      <c r="E7" s="1" t="s">
        <v>8</v>
      </c>
      <c r="F7" s="3" t="s">
        <v>8</v>
      </c>
      <c r="G7" s="2" t="s">
        <v>8</v>
      </c>
      <c r="H7" s="2" t="s">
        <v>17</v>
      </c>
      <c r="I7" s="2" t="s">
        <v>8</v>
      </c>
      <c r="J7" s="75"/>
      <c r="K7" s="29" t="s">
        <v>8</v>
      </c>
      <c r="L7" s="17">
        <v>5.5</v>
      </c>
      <c r="M7" s="68">
        <f t="shared" si="0"/>
        <v>19.642857142857142</v>
      </c>
      <c r="O7" s="315"/>
      <c r="P7" s="325"/>
      <c r="Q7" s="330"/>
      <c r="R7" s="26">
        <v>1</v>
      </c>
      <c r="S7" s="12">
        <v>2</v>
      </c>
      <c r="T7" s="12">
        <v>3</v>
      </c>
      <c r="U7" s="12">
        <v>4</v>
      </c>
      <c r="V7" s="12">
        <v>5</v>
      </c>
      <c r="W7" s="12">
        <v>6</v>
      </c>
      <c r="X7" s="12">
        <v>7</v>
      </c>
      <c r="Y7" s="12">
        <v>8</v>
      </c>
      <c r="Z7" s="12">
        <v>9</v>
      </c>
      <c r="AA7" s="19">
        <v>10</v>
      </c>
      <c r="AB7" s="318"/>
      <c r="AC7" s="333"/>
      <c r="AF7" s="34"/>
      <c r="AG7" s="34"/>
    </row>
    <row r="8" spans="2:33" ht="15.75" thickBot="1" x14ac:dyDescent="0.3">
      <c r="B8" s="344" t="s">
        <v>59</v>
      </c>
      <c r="C8" s="349"/>
      <c r="D8" s="349"/>
      <c r="E8" s="345"/>
      <c r="F8" s="1" t="s">
        <v>9</v>
      </c>
      <c r="G8" s="3" t="s">
        <v>10</v>
      </c>
      <c r="H8" s="2" t="s">
        <v>11</v>
      </c>
      <c r="I8" s="2" t="s">
        <v>12</v>
      </c>
      <c r="J8" s="75"/>
      <c r="K8" s="36" t="s">
        <v>9</v>
      </c>
      <c r="L8" s="17">
        <v>2</v>
      </c>
      <c r="M8" s="68">
        <f t="shared" si="0"/>
        <v>7.1428571428571432</v>
      </c>
      <c r="O8" s="313" t="s">
        <v>24</v>
      </c>
      <c r="P8" s="326">
        <f>M5</f>
        <v>23.214285714285715</v>
      </c>
      <c r="Q8" s="20" t="s">
        <v>19</v>
      </c>
      <c r="R8" s="43"/>
      <c r="S8" s="44"/>
      <c r="T8" s="44"/>
      <c r="U8" s="44"/>
      <c r="V8" s="44"/>
      <c r="W8" s="61"/>
      <c r="X8" s="61"/>
      <c r="Y8" s="61"/>
      <c r="Z8" s="61"/>
      <c r="AA8" s="79"/>
      <c r="AB8" s="80">
        <v>5</v>
      </c>
      <c r="AC8" s="70">
        <f>AB8*P8</f>
        <v>116.07142857142858</v>
      </c>
    </row>
    <row r="9" spans="2:33" ht="15.75" thickBot="1" x14ac:dyDescent="0.3">
      <c r="B9" s="344" t="s">
        <v>3</v>
      </c>
      <c r="C9" s="349"/>
      <c r="D9" s="349"/>
      <c r="E9" s="349"/>
      <c r="F9" s="345"/>
      <c r="G9" s="1" t="s">
        <v>10</v>
      </c>
      <c r="H9" s="3" t="s">
        <v>11</v>
      </c>
      <c r="I9" s="2" t="s">
        <v>10</v>
      </c>
      <c r="J9" s="75"/>
      <c r="K9" s="29" t="s">
        <v>10</v>
      </c>
      <c r="L9" s="17">
        <v>4</v>
      </c>
      <c r="M9" s="68">
        <f t="shared" si="0"/>
        <v>14.285714285714286</v>
      </c>
      <c r="O9" s="314"/>
      <c r="P9" s="327"/>
      <c r="Q9" s="21" t="s">
        <v>20</v>
      </c>
      <c r="R9" s="45"/>
      <c r="S9" s="46"/>
      <c r="T9" s="46"/>
      <c r="U9" s="46"/>
      <c r="V9" s="46"/>
      <c r="W9" s="46"/>
      <c r="X9" s="62"/>
      <c r="Y9" s="62"/>
      <c r="Z9" s="62"/>
      <c r="AA9" s="72"/>
      <c r="AB9" s="73">
        <v>6</v>
      </c>
      <c r="AC9" s="71">
        <f>AB9*P8</f>
        <v>139.28571428571428</v>
      </c>
    </row>
    <row r="10" spans="2:33" ht="15.75" thickBot="1" x14ac:dyDescent="0.3">
      <c r="B10" s="339" t="s">
        <v>60</v>
      </c>
      <c r="C10" s="340"/>
      <c r="D10" s="340"/>
      <c r="E10" s="340"/>
      <c r="F10" s="340"/>
      <c r="G10" s="340"/>
      <c r="H10" s="1" t="s">
        <v>11</v>
      </c>
      <c r="I10" s="3" t="s">
        <v>11</v>
      </c>
      <c r="J10" s="75"/>
      <c r="K10" s="29" t="s">
        <v>11</v>
      </c>
      <c r="L10" s="17">
        <v>6</v>
      </c>
      <c r="M10" s="68">
        <f t="shared" si="0"/>
        <v>21.428571428571427</v>
      </c>
      <c r="O10" s="314"/>
      <c r="P10" s="327"/>
      <c r="Q10" s="21" t="s">
        <v>21</v>
      </c>
      <c r="R10" s="49"/>
      <c r="S10" s="50"/>
      <c r="T10" s="50"/>
      <c r="U10" s="50"/>
      <c r="V10" s="50"/>
      <c r="W10" s="50"/>
      <c r="X10" s="50"/>
      <c r="Y10" s="62"/>
      <c r="Z10" s="62"/>
      <c r="AA10" s="72"/>
      <c r="AB10" s="73">
        <v>7</v>
      </c>
      <c r="AC10" s="71">
        <f>AB10*P8</f>
        <v>162.5</v>
      </c>
    </row>
    <row r="11" spans="2:33" ht="15.75" thickBot="1" x14ac:dyDescent="0.3">
      <c r="B11" s="339" t="s">
        <v>72</v>
      </c>
      <c r="C11" s="340"/>
      <c r="D11" s="340"/>
      <c r="E11" s="340"/>
      <c r="F11" s="340"/>
      <c r="G11" s="340"/>
      <c r="H11" s="340"/>
      <c r="I11" s="1" t="s">
        <v>12</v>
      </c>
      <c r="J11" s="75"/>
      <c r="K11" s="39" t="s">
        <v>12</v>
      </c>
      <c r="L11" s="16">
        <v>3</v>
      </c>
      <c r="M11" s="82">
        <f t="shared" si="0"/>
        <v>10.714285714285714</v>
      </c>
      <c r="O11" s="315"/>
      <c r="P11" s="325"/>
      <c r="Q11" s="22" t="s">
        <v>22</v>
      </c>
      <c r="R11" s="51"/>
      <c r="S11" s="52"/>
      <c r="T11" s="52"/>
      <c r="U11" s="52"/>
      <c r="V11" s="52"/>
      <c r="W11" s="52"/>
      <c r="X11" s="52"/>
      <c r="Y11" s="64"/>
      <c r="Z11" s="64"/>
      <c r="AA11" s="78"/>
      <c r="AB11" s="74">
        <v>7</v>
      </c>
      <c r="AC11" s="81">
        <f>AB11*P8</f>
        <v>162.5</v>
      </c>
    </row>
    <row r="12" spans="2:33" x14ac:dyDescent="0.25">
      <c r="O12" s="328" t="s">
        <v>5</v>
      </c>
      <c r="P12" s="326">
        <f>M6</f>
        <v>3.5714285714285716</v>
      </c>
      <c r="Q12" s="20" t="s">
        <v>19</v>
      </c>
      <c r="R12" s="43"/>
      <c r="S12" s="44"/>
      <c r="T12" s="44"/>
      <c r="U12" s="44"/>
      <c r="V12" s="44"/>
      <c r="W12" s="44"/>
      <c r="X12" s="44"/>
      <c r="Y12" s="61"/>
      <c r="Z12" s="61"/>
      <c r="AA12" s="79"/>
      <c r="AB12" s="80">
        <v>7</v>
      </c>
      <c r="AC12" s="70">
        <f>AB12*P12</f>
        <v>25</v>
      </c>
    </row>
    <row r="13" spans="2:33" x14ac:dyDescent="0.25">
      <c r="K13" s="4"/>
      <c r="L13" s="4">
        <f>SUM(L5:L11)</f>
        <v>28</v>
      </c>
      <c r="M13" s="4">
        <f>SUM(M5:M11)</f>
        <v>100</v>
      </c>
      <c r="N13" s="4"/>
      <c r="O13" s="314"/>
      <c r="P13" s="327"/>
      <c r="Q13" s="21" t="s">
        <v>20</v>
      </c>
      <c r="R13" s="45"/>
      <c r="S13" s="46"/>
      <c r="T13" s="46"/>
      <c r="U13" s="46"/>
      <c r="V13" s="46"/>
      <c r="W13" s="46"/>
      <c r="X13" s="46"/>
      <c r="Y13" s="46"/>
      <c r="Z13" s="62"/>
      <c r="AA13" s="72"/>
      <c r="AB13" s="73">
        <v>8</v>
      </c>
      <c r="AC13" s="71">
        <f>AB13*P12</f>
        <v>28.571428571428573</v>
      </c>
    </row>
    <row r="14" spans="2:33" x14ac:dyDescent="0.25">
      <c r="K14" s="4"/>
      <c r="L14" s="4"/>
      <c r="M14" s="4"/>
      <c r="N14" s="4"/>
      <c r="O14" s="314"/>
      <c r="P14" s="327"/>
      <c r="Q14" s="21" t="s">
        <v>21</v>
      </c>
      <c r="R14" s="49"/>
      <c r="S14" s="50"/>
      <c r="T14" s="50"/>
      <c r="U14" s="50"/>
      <c r="V14" s="50"/>
      <c r="W14" s="50"/>
      <c r="X14" s="50"/>
      <c r="Y14" s="50"/>
      <c r="Z14" s="50"/>
      <c r="AA14" s="72"/>
      <c r="AB14" s="73">
        <v>9</v>
      </c>
      <c r="AC14" s="71">
        <f>AB14*P12</f>
        <v>32.142857142857146</v>
      </c>
    </row>
    <row r="15" spans="2:33" ht="15.75" thickBot="1" x14ac:dyDescent="0.3">
      <c r="K15" s="4"/>
      <c r="L15" s="4"/>
      <c r="M15" s="4"/>
      <c r="N15" s="4"/>
      <c r="O15" s="315"/>
      <c r="P15" s="325"/>
      <c r="Q15" s="22" t="s">
        <v>22</v>
      </c>
      <c r="R15" s="51"/>
      <c r="S15" s="52"/>
      <c r="T15" s="52"/>
      <c r="U15" s="52"/>
      <c r="V15" s="52"/>
      <c r="W15" s="52"/>
      <c r="X15" s="52"/>
      <c r="Y15" s="52"/>
      <c r="Z15" s="52"/>
      <c r="AA15" s="78"/>
      <c r="AB15" s="74">
        <v>9</v>
      </c>
      <c r="AC15" s="81">
        <f>AB15*P12</f>
        <v>32.142857142857146</v>
      </c>
    </row>
    <row r="16" spans="2:33" x14ac:dyDescent="0.25">
      <c r="K16" s="4"/>
      <c r="L16" s="4"/>
      <c r="M16" s="4"/>
      <c r="N16" s="4"/>
      <c r="O16" s="313" t="s">
        <v>29</v>
      </c>
      <c r="P16" s="326">
        <f>M7</f>
        <v>19.642857142857142</v>
      </c>
      <c r="Q16" s="20" t="s">
        <v>19</v>
      </c>
      <c r="R16" s="43"/>
      <c r="S16" s="44"/>
      <c r="T16" s="44"/>
      <c r="U16" s="44"/>
      <c r="V16" s="44"/>
      <c r="W16" s="44"/>
      <c r="X16" s="61"/>
      <c r="Y16" s="61"/>
      <c r="Z16" s="61"/>
      <c r="AA16" s="79"/>
      <c r="AB16" s="80">
        <v>6</v>
      </c>
      <c r="AC16" s="70">
        <f>AB16*P16</f>
        <v>117.85714285714286</v>
      </c>
    </row>
    <row r="17" spans="11:38" x14ac:dyDescent="0.25">
      <c r="K17" s="4"/>
      <c r="L17" s="4"/>
      <c r="M17" s="4"/>
      <c r="N17" s="4"/>
      <c r="O17" s="314"/>
      <c r="P17" s="327"/>
      <c r="Q17" s="21" t="s">
        <v>20</v>
      </c>
      <c r="R17" s="45"/>
      <c r="S17" s="46"/>
      <c r="T17" s="46"/>
      <c r="U17" s="46"/>
      <c r="V17" s="46"/>
      <c r="W17" s="46"/>
      <c r="X17" s="46"/>
      <c r="Y17" s="62"/>
      <c r="Z17" s="62"/>
      <c r="AA17" s="72"/>
      <c r="AB17" s="73">
        <v>7</v>
      </c>
      <c r="AC17" s="71">
        <f>AB17*P16</f>
        <v>137.5</v>
      </c>
    </row>
    <row r="18" spans="11:38" x14ac:dyDescent="0.25">
      <c r="K18" s="4"/>
      <c r="L18" s="4"/>
      <c r="M18" s="4"/>
      <c r="N18" s="4"/>
      <c r="O18" s="314"/>
      <c r="P18" s="327"/>
      <c r="Q18" s="21" t="s">
        <v>21</v>
      </c>
      <c r="R18" s="49"/>
      <c r="S18" s="50"/>
      <c r="T18" s="50"/>
      <c r="U18" s="50"/>
      <c r="V18" s="50"/>
      <c r="W18" s="50"/>
      <c r="X18" s="50"/>
      <c r="Y18" s="50"/>
      <c r="Z18" s="62"/>
      <c r="AA18" s="72"/>
      <c r="AB18" s="73">
        <v>8</v>
      </c>
      <c r="AC18" s="71">
        <f>AB18*P16</f>
        <v>157.14285714285714</v>
      </c>
    </row>
    <row r="19" spans="11:38" ht="15.75" thickBot="1" x14ac:dyDescent="0.3">
      <c r="K19" s="4"/>
      <c r="L19" s="4"/>
      <c r="M19" s="4"/>
      <c r="N19" s="4"/>
      <c r="O19" s="315"/>
      <c r="P19" s="325"/>
      <c r="Q19" s="22" t="s">
        <v>22</v>
      </c>
      <c r="R19" s="51"/>
      <c r="S19" s="52"/>
      <c r="T19" s="52"/>
      <c r="U19" s="52"/>
      <c r="V19" s="52"/>
      <c r="W19" s="52"/>
      <c r="X19" s="52"/>
      <c r="Y19" s="52"/>
      <c r="Z19" s="64"/>
      <c r="AA19" s="78"/>
      <c r="AB19" s="74">
        <v>8</v>
      </c>
      <c r="AC19" s="81">
        <f>AB19*P16</f>
        <v>157.14285714285714</v>
      </c>
    </row>
    <row r="20" spans="11:38" x14ac:dyDescent="0.25">
      <c r="O20" s="313" t="s">
        <v>61</v>
      </c>
      <c r="P20" s="326">
        <f>M8</f>
        <v>7.1428571428571432</v>
      </c>
      <c r="Q20" s="20" t="s">
        <v>19</v>
      </c>
      <c r="R20" s="43"/>
      <c r="S20" s="44"/>
      <c r="T20" s="44"/>
      <c r="U20" s="44"/>
      <c r="V20" s="44"/>
      <c r="W20" s="44"/>
      <c r="X20" s="44"/>
      <c r="Y20" s="61"/>
      <c r="Z20" s="61"/>
      <c r="AA20" s="79"/>
      <c r="AB20" s="80">
        <v>7</v>
      </c>
      <c r="AC20" s="70">
        <f>AB20*P20</f>
        <v>50</v>
      </c>
    </row>
    <row r="21" spans="11:38" x14ac:dyDescent="0.25">
      <c r="O21" s="314"/>
      <c r="P21" s="327"/>
      <c r="Q21" s="21" t="s">
        <v>20</v>
      </c>
      <c r="R21" s="45"/>
      <c r="S21" s="46"/>
      <c r="T21" s="46"/>
      <c r="U21" s="46"/>
      <c r="V21" s="46"/>
      <c r="W21" s="46"/>
      <c r="X21" s="46"/>
      <c r="Y21" s="46"/>
      <c r="Z21" s="62"/>
      <c r="AA21" s="72"/>
      <c r="AB21" s="73">
        <v>8</v>
      </c>
      <c r="AC21" s="71">
        <f>AB21*P20</f>
        <v>57.142857142857146</v>
      </c>
    </row>
    <row r="22" spans="11:38" x14ac:dyDescent="0.25">
      <c r="O22" s="314"/>
      <c r="P22" s="327"/>
      <c r="Q22" s="21" t="s">
        <v>21</v>
      </c>
      <c r="R22" s="49"/>
      <c r="S22" s="50"/>
      <c r="T22" s="50"/>
      <c r="U22" s="50"/>
      <c r="V22" s="50"/>
      <c r="W22" s="50"/>
      <c r="X22" s="50"/>
      <c r="Y22" s="50"/>
      <c r="Z22" s="50"/>
      <c r="AA22" s="72"/>
      <c r="AB22" s="73">
        <v>9</v>
      </c>
      <c r="AC22" s="71">
        <f>AB22*P20</f>
        <v>64.285714285714292</v>
      </c>
    </row>
    <row r="23" spans="11:38" ht="15.75" thickBot="1" x14ac:dyDescent="0.3">
      <c r="O23" s="315"/>
      <c r="P23" s="325"/>
      <c r="Q23" s="22" t="s">
        <v>22</v>
      </c>
      <c r="R23" s="51"/>
      <c r="S23" s="52"/>
      <c r="T23" s="52"/>
      <c r="U23" s="52"/>
      <c r="V23" s="52"/>
      <c r="W23" s="52"/>
      <c r="X23" s="52"/>
      <c r="Y23" s="52"/>
      <c r="Z23" s="52"/>
      <c r="AA23" s="78"/>
      <c r="AB23" s="74">
        <v>9</v>
      </c>
      <c r="AC23" s="81">
        <f>AB23*P20</f>
        <v>64.285714285714292</v>
      </c>
    </row>
    <row r="24" spans="11:38" x14ac:dyDescent="0.25">
      <c r="O24" s="313" t="s">
        <v>3</v>
      </c>
      <c r="P24" s="326">
        <f>M9</f>
        <v>14.285714285714286</v>
      </c>
      <c r="Q24" s="20" t="s">
        <v>19</v>
      </c>
      <c r="R24" s="43"/>
      <c r="S24" s="44"/>
      <c r="T24" s="44"/>
      <c r="U24" s="44"/>
      <c r="V24" s="44"/>
      <c r="W24" s="44"/>
      <c r="X24" s="61"/>
      <c r="Y24" s="61"/>
      <c r="Z24" s="61"/>
      <c r="AA24" s="79"/>
      <c r="AB24" s="80">
        <v>6</v>
      </c>
      <c r="AC24" s="70">
        <f>AB24*P24</f>
        <v>85.714285714285722</v>
      </c>
      <c r="AL24" s="40"/>
    </row>
    <row r="25" spans="11:38" x14ac:dyDescent="0.25">
      <c r="O25" s="314"/>
      <c r="P25" s="327"/>
      <c r="Q25" s="21" t="s">
        <v>20</v>
      </c>
      <c r="R25" s="45"/>
      <c r="S25" s="46"/>
      <c r="T25" s="46"/>
      <c r="U25" s="46"/>
      <c r="V25" s="46"/>
      <c r="W25" s="46"/>
      <c r="X25" s="46"/>
      <c r="Y25" s="62"/>
      <c r="Z25" s="62"/>
      <c r="AA25" s="72"/>
      <c r="AB25" s="73">
        <v>7</v>
      </c>
      <c r="AC25" s="71">
        <f>AB25*P24</f>
        <v>100</v>
      </c>
    </row>
    <row r="26" spans="11:38" x14ac:dyDescent="0.25">
      <c r="O26" s="314"/>
      <c r="P26" s="327"/>
      <c r="Q26" s="21" t="s">
        <v>21</v>
      </c>
      <c r="R26" s="49"/>
      <c r="S26" s="50"/>
      <c r="T26" s="50"/>
      <c r="U26" s="50"/>
      <c r="V26" s="50"/>
      <c r="W26" s="50"/>
      <c r="X26" s="50"/>
      <c r="Y26" s="50"/>
      <c r="Z26" s="62"/>
      <c r="AA26" s="72"/>
      <c r="AB26" s="73">
        <v>8</v>
      </c>
      <c r="AC26" s="71">
        <f>AB26*P24</f>
        <v>114.28571428571429</v>
      </c>
    </row>
    <row r="27" spans="11:38" ht="15.75" thickBot="1" x14ac:dyDescent="0.3">
      <c r="O27" s="315"/>
      <c r="P27" s="325"/>
      <c r="Q27" s="22" t="s">
        <v>22</v>
      </c>
      <c r="R27" s="51"/>
      <c r="S27" s="52"/>
      <c r="T27" s="52"/>
      <c r="U27" s="52"/>
      <c r="V27" s="52"/>
      <c r="W27" s="52"/>
      <c r="X27" s="52"/>
      <c r="Y27" s="52"/>
      <c r="Z27" s="52"/>
      <c r="AA27" s="78"/>
      <c r="AB27" s="74">
        <v>9</v>
      </c>
      <c r="AC27" s="81">
        <f>AB27*P24</f>
        <v>128.57142857142858</v>
      </c>
    </row>
    <row r="28" spans="11:38" x14ac:dyDescent="0.25">
      <c r="O28" s="313" t="s">
        <v>62</v>
      </c>
      <c r="P28" s="326">
        <f>M10</f>
        <v>21.428571428571427</v>
      </c>
      <c r="Q28" s="20" t="s">
        <v>19</v>
      </c>
      <c r="R28" s="43"/>
      <c r="S28" s="44"/>
      <c r="T28" s="44"/>
      <c r="U28" s="44"/>
      <c r="V28" s="44"/>
      <c r="W28" s="44"/>
      <c r="X28" s="44"/>
      <c r="Y28" s="44"/>
      <c r="Z28" s="61"/>
      <c r="AA28" s="79"/>
      <c r="AB28" s="80">
        <v>8</v>
      </c>
      <c r="AC28" s="70">
        <f>AB28*P28</f>
        <v>171.42857142857142</v>
      </c>
    </row>
    <row r="29" spans="11:38" x14ac:dyDescent="0.25">
      <c r="O29" s="314"/>
      <c r="P29" s="327"/>
      <c r="Q29" s="21" t="s">
        <v>20</v>
      </c>
      <c r="R29" s="45"/>
      <c r="S29" s="46"/>
      <c r="T29" s="46"/>
      <c r="U29" s="46"/>
      <c r="V29" s="46"/>
      <c r="W29" s="46"/>
      <c r="X29" s="46"/>
      <c r="Y29" s="46"/>
      <c r="Z29" s="62"/>
      <c r="AA29" s="72"/>
      <c r="AB29" s="73">
        <v>8</v>
      </c>
      <c r="AC29" s="71">
        <f>AB29*P28</f>
        <v>171.42857142857142</v>
      </c>
    </row>
    <row r="30" spans="11:38" x14ac:dyDescent="0.25">
      <c r="O30" s="314"/>
      <c r="P30" s="327"/>
      <c r="Q30" s="21" t="s">
        <v>21</v>
      </c>
      <c r="R30" s="49"/>
      <c r="S30" s="50"/>
      <c r="T30" s="50"/>
      <c r="U30" s="50"/>
      <c r="V30" s="50"/>
      <c r="W30" s="50"/>
      <c r="X30" s="50"/>
      <c r="Y30" s="50"/>
      <c r="Z30" s="50"/>
      <c r="AA30" s="72"/>
      <c r="AB30" s="73">
        <v>9</v>
      </c>
      <c r="AC30" s="71">
        <f>AB30*P28</f>
        <v>192.85714285714283</v>
      </c>
    </row>
    <row r="31" spans="11:38" ht="15.75" thickBot="1" x14ac:dyDescent="0.3">
      <c r="O31" s="315"/>
      <c r="P31" s="325"/>
      <c r="Q31" s="22" t="s">
        <v>22</v>
      </c>
      <c r="R31" s="51"/>
      <c r="S31" s="52"/>
      <c r="T31" s="52"/>
      <c r="U31" s="52"/>
      <c r="V31" s="52"/>
      <c r="W31" s="52"/>
      <c r="X31" s="52"/>
      <c r="Y31" s="52"/>
      <c r="Z31" s="52"/>
      <c r="AA31" s="78"/>
      <c r="AB31" s="74">
        <v>9</v>
      </c>
      <c r="AC31" s="81">
        <f>AB31*P28</f>
        <v>192.85714285714283</v>
      </c>
    </row>
    <row r="32" spans="11:38" x14ac:dyDescent="0.25">
      <c r="O32" s="313" t="s">
        <v>73</v>
      </c>
      <c r="P32" s="326">
        <f>M11</f>
        <v>10.714285714285714</v>
      </c>
      <c r="Q32" s="20" t="s">
        <v>19</v>
      </c>
      <c r="R32" s="43"/>
      <c r="S32" s="44"/>
      <c r="T32" s="44"/>
      <c r="U32" s="44"/>
      <c r="V32" s="44"/>
      <c r="W32" s="44"/>
      <c r="X32" s="44"/>
      <c r="Y32" s="61"/>
      <c r="Z32" s="61"/>
      <c r="AA32" s="79"/>
      <c r="AB32" s="80">
        <v>7</v>
      </c>
      <c r="AC32" s="70">
        <f>AB32*P32</f>
        <v>75</v>
      </c>
    </row>
    <row r="33" spans="15:30" x14ac:dyDescent="0.25">
      <c r="O33" s="314"/>
      <c r="P33" s="327"/>
      <c r="Q33" s="21" t="s">
        <v>20</v>
      </c>
      <c r="R33" s="45"/>
      <c r="S33" s="46"/>
      <c r="T33" s="46"/>
      <c r="U33" s="46"/>
      <c r="V33" s="46"/>
      <c r="W33" s="46"/>
      <c r="X33" s="46"/>
      <c r="Y33" s="62"/>
      <c r="Z33" s="62"/>
      <c r="AA33" s="72"/>
      <c r="AB33" s="73">
        <v>7</v>
      </c>
      <c r="AC33" s="71">
        <f>AB33*P32</f>
        <v>75</v>
      </c>
    </row>
    <row r="34" spans="15:30" x14ac:dyDescent="0.25">
      <c r="O34" s="314"/>
      <c r="P34" s="327"/>
      <c r="Q34" s="21" t="s">
        <v>21</v>
      </c>
      <c r="R34" s="49"/>
      <c r="S34" s="50"/>
      <c r="T34" s="50"/>
      <c r="U34" s="50"/>
      <c r="V34" s="50"/>
      <c r="W34" s="50"/>
      <c r="X34" s="62"/>
      <c r="Y34" s="62"/>
      <c r="Z34" s="62"/>
      <c r="AA34" s="72"/>
      <c r="AB34" s="73">
        <v>6</v>
      </c>
      <c r="AC34" s="71">
        <f>AB34*P32</f>
        <v>64.285714285714278</v>
      </c>
    </row>
    <row r="35" spans="15:30" ht="15.75" thickBot="1" x14ac:dyDescent="0.3">
      <c r="O35" s="315"/>
      <c r="P35" s="325"/>
      <c r="Q35" s="22" t="s">
        <v>22</v>
      </c>
      <c r="R35" s="51"/>
      <c r="S35" s="52"/>
      <c r="T35" s="52"/>
      <c r="U35" s="52"/>
      <c r="V35" s="52"/>
      <c r="W35" s="64"/>
      <c r="X35" s="64"/>
      <c r="Y35" s="64"/>
      <c r="Z35" s="64"/>
      <c r="AA35" s="78"/>
      <c r="AB35" s="74">
        <v>5</v>
      </c>
      <c r="AC35" s="81">
        <f>AB35*P32</f>
        <v>53.571428571428569</v>
      </c>
    </row>
    <row r="36" spans="15:30" ht="15.75" thickBot="1" x14ac:dyDescent="0.3"/>
    <row r="37" spans="15:30" ht="15" customHeight="1" x14ac:dyDescent="0.25">
      <c r="O37" s="307" t="s">
        <v>34</v>
      </c>
      <c r="P37" s="304"/>
      <c r="Q37" s="311" t="s">
        <v>23</v>
      </c>
      <c r="R37" s="302" t="s">
        <v>35</v>
      </c>
      <c r="S37" s="303"/>
      <c r="T37" s="303"/>
      <c r="U37" s="304"/>
      <c r="V37" s="291"/>
      <c r="W37" s="292"/>
      <c r="X37" s="292"/>
      <c r="Y37" s="292"/>
      <c r="Z37" s="292"/>
      <c r="AA37" s="292"/>
      <c r="AB37" s="292"/>
      <c r="AC37" s="292"/>
      <c r="AD37" s="37"/>
    </row>
    <row r="38" spans="15:30" ht="15.75" thickBot="1" x14ac:dyDescent="0.3">
      <c r="O38" s="283" t="s">
        <v>36</v>
      </c>
      <c r="P38" s="284"/>
      <c r="Q38" s="312"/>
      <c r="R38" s="305"/>
      <c r="S38" s="306"/>
      <c r="T38" s="306"/>
      <c r="U38" s="284"/>
      <c r="V38" s="291"/>
      <c r="W38" s="292"/>
      <c r="X38" s="292"/>
      <c r="Y38" s="292"/>
      <c r="Z38" s="292"/>
      <c r="AA38" s="292"/>
      <c r="AB38" s="292"/>
      <c r="AC38" s="292"/>
    </row>
    <row r="39" spans="15:30" x14ac:dyDescent="0.25">
      <c r="O39" s="307" t="s">
        <v>19</v>
      </c>
      <c r="P39" s="304"/>
      <c r="Q39" s="41">
        <f>AC8+AC12+AC16+AC20+AC24+AC28+AC32</f>
        <v>641.07142857142856</v>
      </c>
      <c r="R39" s="370" t="s">
        <v>74</v>
      </c>
      <c r="S39" s="309"/>
      <c r="T39" s="309"/>
      <c r="U39" s="371"/>
      <c r="V39" s="291"/>
      <c r="W39" s="292"/>
      <c r="X39" s="292"/>
      <c r="Y39" s="292"/>
      <c r="Z39" s="292"/>
      <c r="AA39" s="292"/>
      <c r="AB39" s="292"/>
      <c r="AC39" s="292"/>
      <c r="AD39" s="37"/>
    </row>
    <row r="40" spans="15:30" x14ac:dyDescent="0.25">
      <c r="O40" s="297" t="s">
        <v>20</v>
      </c>
      <c r="P40" s="298"/>
      <c r="Q40" s="68">
        <f t="shared" ref="Q40:Q42" si="1">AC9+AC13+AC17+AC21+AC25+AC29+AC33</f>
        <v>708.92857142857144</v>
      </c>
      <c r="R40" s="368">
        <f>Q40-Q39</f>
        <v>67.85714285714289</v>
      </c>
      <c r="S40" s="300"/>
      <c r="T40" s="300"/>
      <c r="U40" s="369"/>
      <c r="V40" s="291"/>
      <c r="W40" s="292"/>
      <c r="X40" s="292"/>
      <c r="Y40" s="292"/>
      <c r="Z40" s="292"/>
      <c r="AA40" s="292"/>
      <c r="AB40" s="292"/>
      <c r="AC40" s="292"/>
    </row>
    <row r="41" spans="15:30" x14ac:dyDescent="0.25">
      <c r="O41" s="297" t="s">
        <v>21</v>
      </c>
      <c r="P41" s="298"/>
      <c r="Q41" s="68">
        <f t="shared" si="1"/>
        <v>787.5</v>
      </c>
      <c r="R41" s="368">
        <f t="shared" ref="R41:R42" si="2">Q41-Q40</f>
        <v>78.571428571428555</v>
      </c>
      <c r="S41" s="300"/>
      <c r="T41" s="300"/>
      <c r="U41" s="369"/>
      <c r="V41" s="291"/>
      <c r="W41" s="292"/>
      <c r="X41" s="292"/>
      <c r="Y41" s="292"/>
      <c r="Z41" s="292"/>
      <c r="AA41" s="292"/>
      <c r="AB41" s="292"/>
      <c r="AC41" s="292"/>
    </row>
    <row r="42" spans="15:30" ht="15.75" thickBot="1" x14ac:dyDescent="0.3">
      <c r="O42" s="283" t="s">
        <v>22</v>
      </c>
      <c r="P42" s="284"/>
      <c r="Q42" s="82">
        <f t="shared" si="1"/>
        <v>791.07142857142856</v>
      </c>
      <c r="R42" s="366">
        <f t="shared" si="2"/>
        <v>3.5714285714285552</v>
      </c>
      <c r="S42" s="286"/>
      <c r="T42" s="286"/>
      <c r="U42" s="367"/>
      <c r="V42" s="291"/>
      <c r="W42" s="292"/>
      <c r="X42" s="292"/>
      <c r="Y42" s="292"/>
      <c r="Z42" s="292"/>
      <c r="AA42" s="292"/>
      <c r="AB42" s="292"/>
      <c r="AC42" s="292"/>
    </row>
    <row r="43" spans="15:30" x14ac:dyDescent="0.25">
      <c r="AB43" s="37"/>
    </row>
  </sheetData>
  <mergeCells count="45">
    <mergeCell ref="B10:G10"/>
    <mergeCell ref="B11:H11"/>
    <mergeCell ref="O8:O11"/>
    <mergeCell ref="P8:P11"/>
    <mergeCell ref="O12:O15"/>
    <mergeCell ref="P12:P15"/>
    <mergeCell ref="B6:C6"/>
    <mergeCell ref="AB6:AB7"/>
    <mergeCell ref="B7:D7"/>
    <mergeCell ref="B8:E8"/>
    <mergeCell ref="B9:F9"/>
    <mergeCell ref="B2:I4"/>
    <mergeCell ref="K2:K3"/>
    <mergeCell ref="L2:L3"/>
    <mergeCell ref="M2:M3"/>
    <mergeCell ref="K4:M4"/>
    <mergeCell ref="O2:AC5"/>
    <mergeCell ref="O6:O7"/>
    <mergeCell ref="P6:P7"/>
    <mergeCell ref="Q6:Q7"/>
    <mergeCell ref="R6:AA6"/>
    <mergeCell ref="AC6:AC7"/>
    <mergeCell ref="O16:O19"/>
    <mergeCell ref="P16:P19"/>
    <mergeCell ref="O20:O23"/>
    <mergeCell ref="P20:P23"/>
    <mergeCell ref="O24:O27"/>
    <mergeCell ref="P24:P27"/>
    <mergeCell ref="O28:O31"/>
    <mergeCell ref="P28:P31"/>
    <mergeCell ref="O32:O35"/>
    <mergeCell ref="P32:P35"/>
    <mergeCell ref="O37:P37"/>
    <mergeCell ref="V37:AC42"/>
    <mergeCell ref="O42:P42"/>
    <mergeCell ref="R42:U42"/>
    <mergeCell ref="O40:P40"/>
    <mergeCell ref="R40:U40"/>
    <mergeCell ref="O41:P41"/>
    <mergeCell ref="R41:U41"/>
    <mergeCell ref="Q37:Q38"/>
    <mergeCell ref="R37:U38"/>
    <mergeCell ref="O38:P38"/>
    <mergeCell ref="O39:P39"/>
    <mergeCell ref="R39:U39"/>
  </mergeCells>
  <pageMargins left="0.1" right="0.1" top="0.1" bottom="0.1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zoomScale="70" zoomScaleNormal="70" workbookViewId="0">
      <selection activeCell="D17" sqref="D17"/>
    </sheetView>
  </sheetViews>
  <sheetFormatPr defaultRowHeight="15" x14ac:dyDescent="0.25"/>
  <cols>
    <col min="1" max="1" width="5.42578125" customWidth="1"/>
    <col min="2" max="2" width="12.85546875" bestFit="1" customWidth="1"/>
    <col min="3" max="3" width="8.140625" bestFit="1" customWidth="1"/>
    <col min="4" max="4" width="11.5703125" bestFit="1" customWidth="1"/>
    <col min="5" max="5" width="8.5703125" bestFit="1" customWidth="1"/>
    <col min="6" max="6" width="11.5703125" bestFit="1" customWidth="1"/>
    <col min="7" max="7" width="8.140625" bestFit="1" customWidth="1"/>
    <col min="8" max="8" width="11.5703125" bestFit="1" customWidth="1"/>
    <col min="9" max="9" width="16.28515625" bestFit="1" customWidth="1"/>
    <col min="10" max="10" width="9.5703125" bestFit="1" customWidth="1"/>
  </cols>
  <sheetData>
    <row r="1" spans="2:10" ht="15.75" thickBot="1" x14ac:dyDescent="0.3"/>
    <row r="2" spans="2:10" ht="15.75" thickBot="1" x14ac:dyDescent="0.3">
      <c r="C2" s="372" t="s">
        <v>97</v>
      </c>
      <c r="D2" s="373"/>
      <c r="E2" s="373"/>
      <c r="F2" s="373"/>
      <c r="G2" s="373"/>
      <c r="H2" s="373"/>
      <c r="I2" s="373"/>
      <c r="J2" s="374"/>
    </row>
    <row r="3" spans="2:10" ht="15.75" thickBot="1" x14ac:dyDescent="0.3">
      <c r="B3" s="34"/>
      <c r="C3" s="131" t="s">
        <v>1</v>
      </c>
      <c r="D3" s="142" t="s">
        <v>35</v>
      </c>
      <c r="E3" s="142" t="s">
        <v>87</v>
      </c>
      <c r="F3" s="142" t="s">
        <v>35</v>
      </c>
      <c r="G3" s="142" t="s">
        <v>98</v>
      </c>
      <c r="H3" s="142" t="s">
        <v>35</v>
      </c>
      <c r="I3" s="142" t="s">
        <v>99</v>
      </c>
      <c r="J3" s="132" t="s">
        <v>35</v>
      </c>
    </row>
    <row r="4" spans="2:10" x14ac:dyDescent="0.25">
      <c r="B4" s="151">
        <v>2013</v>
      </c>
      <c r="C4" s="143">
        <f>KLM!S43</f>
        <v>697.22222222222229</v>
      </c>
      <c r="D4" s="144" t="str">
        <f>KLM!T43</f>
        <v>N/A</v>
      </c>
      <c r="E4" s="144">
        <f>Schiphol!R43</f>
        <v>613.88888888888891</v>
      </c>
      <c r="F4" s="144" t="str">
        <f>Schiphol!S43</f>
        <v>N/A</v>
      </c>
      <c r="G4" s="144">
        <f>ATC!M23</f>
        <v>683.33333333333326</v>
      </c>
      <c r="H4" s="144" t="str">
        <f>ATC!N23</f>
        <v>N/A</v>
      </c>
      <c r="I4" s="144">
        <f>'Local Community'!Q39</f>
        <v>641.07142857142856</v>
      </c>
      <c r="J4" s="145" t="str">
        <f>'Local Community'!R39</f>
        <v>N/A</v>
      </c>
    </row>
    <row r="5" spans="2:10" x14ac:dyDescent="0.25">
      <c r="B5" s="152" t="s">
        <v>100</v>
      </c>
      <c r="C5" s="146">
        <f>KLM!S44</f>
        <v>783.33333333333337</v>
      </c>
      <c r="D5" s="141">
        <f>KLM!T44</f>
        <v>86.111111111111086</v>
      </c>
      <c r="E5" s="141">
        <f>Schiphol!R44</f>
        <v>675.00000000000011</v>
      </c>
      <c r="F5" s="141">
        <f>Schiphol!S44</f>
        <v>61.1111111111112</v>
      </c>
      <c r="G5" s="141">
        <f>ATC!M24</f>
        <v>741.66666666666663</v>
      </c>
      <c r="H5" s="141">
        <f>ATC!N24</f>
        <v>58.333333333333371</v>
      </c>
      <c r="I5" s="141">
        <f>'Local Community'!Q40</f>
        <v>708.92857142857144</v>
      </c>
      <c r="J5" s="147">
        <f>'Local Community'!R40</f>
        <v>67.85714285714289</v>
      </c>
    </row>
    <row r="6" spans="2:10" x14ac:dyDescent="0.25">
      <c r="B6" s="152" t="s">
        <v>101</v>
      </c>
      <c r="C6" s="146">
        <f>KLM!S45</f>
        <v>841.66666666666663</v>
      </c>
      <c r="D6" s="141">
        <f>KLM!T45</f>
        <v>58.333333333333258</v>
      </c>
      <c r="E6" s="141">
        <f>Schiphol!R45</f>
        <v>716.66666666666674</v>
      </c>
      <c r="F6" s="141">
        <f>Schiphol!S45</f>
        <v>41.666666666666629</v>
      </c>
      <c r="G6" s="141">
        <f>ATC!M25</f>
        <v>758.33333333333337</v>
      </c>
      <c r="H6" s="141">
        <f>ATC!N25</f>
        <v>16.666666666666742</v>
      </c>
      <c r="I6" s="141">
        <f>'Local Community'!Q41</f>
        <v>787.5</v>
      </c>
      <c r="J6" s="147">
        <f>'Local Community'!R41</f>
        <v>78.571428571428555</v>
      </c>
    </row>
    <row r="7" spans="2:10" ht="15.75" thickBot="1" x14ac:dyDescent="0.3">
      <c r="B7" s="153" t="s">
        <v>102</v>
      </c>
      <c r="C7" s="148">
        <f>KLM!S46</f>
        <v>866.66666666666663</v>
      </c>
      <c r="D7" s="149">
        <f>KLM!T46</f>
        <v>25</v>
      </c>
      <c r="E7" s="149">
        <f>Schiphol!R46</f>
        <v>752.77777777777783</v>
      </c>
      <c r="F7" s="149">
        <f>Schiphol!S46</f>
        <v>36.111111111111086</v>
      </c>
      <c r="G7" s="149">
        <f>ATC!M26</f>
        <v>775</v>
      </c>
      <c r="H7" s="149">
        <f>ATC!N26</f>
        <v>16.666666666666629</v>
      </c>
      <c r="I7" s="149">
        <f>'Local Community'!Q42</f>
        <v>791.07142857142856</v>
      </c>
      <c r="J7" s="150">
        <f>'Local Community'!R42</f>
        <v>3.5714285714285552</v>
      </c>
    </row>
    <row r="8" spans="2:10" ht="15.75" thickBot="1" x14ac:dyDescent="0.3"/>
    <row r="9" spans="2:10" ht="15.75" thickBot="1" x14ac:dyDescent="0.3">
      <c r="C9" s="350" t="s">
        <v>104</v>
      </c>
      <c r="D9" s="375"/>
      <c r="E9" s="375"/>
      <c r="F9" s="375"/>
      <c r="G9" s="375"/>
      <c r="H9" s="351"/>
      <c r="I9" s="154"/>
      <c r="J9" s="154"/>
    </row>
    <row r="10" spans="2:10" ht="15.75" thickBot="1" x14ac:dyDescent="0.3">
      <c r="B10" s="34"/>
      <c r="C10" s="131" t="s">
        <v>1</v>
      </c>
      <c r="D10" s="142" t="s">
        <v>105</v>
      </c>
      <c r="E10" s="142" t="s">
        <v>87</v>
      </c>
      <c r="F10" s="142" t="s">
        <v>105</v>
      </c>
      <c r="G10" s="142" t="s">
        <v>98</v>
      </c>
      <c r="H10" s="132" t="s">
        <v>105</v>
      </c>
      <c r="I10" s="155"/>
      <c r="J10" s="155"/>
    </row>
    <row r="11" spans="2:10" x14ac:dyDescent="0.25">
      <c r="B11" s="151">
        <v>2013</v>
      </c>
      <c r="C11" s="143">
        <f>KLM!X43</f>
        <v>0.92937800000000004</v>
      </c>
      <c r="D11" s="144">
        <f>C4/C11</f>
        <v>750.20306293265196</v>
      </c>
      <c r="E11" s="144">
        <f>Schiphol!W43</f>
        <v>1.385</v>
      </c>
      <c r="F11" s="144">
        <f>E4/E11</f>
        <v>443.24107501002811</v>
      </c>
      <c r="G11" s="144">
        <f>ATC!R23/1000</f>
        <v>0.165606</v>
      </c>
      <c r="H11" s="145">
        <f>G4/G11</f>
        <v>4126.2595155570043</v>
      </c>
      <c r="I11" s="156"/>
      <c r="J11" s="156"/>
    </row>
    <row r="12" spans="2:10" x14ac:dyDescent="0.25">
      <c r="B12" s="152" t="s">
        <v>100</v>
      </c>
      <c r="C12" s="146">
        <f>KLM!X44</f>
        <v>1.0223158000000001</v>
      </c>
      <c r="D12" s="141">
        <f t="shared" ref="D12:D14" si="0">C5/C12</f>
        <v>766.23420408188281</v>
      </c>
      <c r="E12" s="141">
        <f>Schiphol!W44</f>
        <v>1.5235000000000001</v>
      </c>
      <c r="F12" s="141">
        <f t="shared" ref="F12:F13" si="1">E5/E12</f>
        <v>443.05874630784382</v>
      </c>
      <c r="G12" s="141">
        <f>ATC!R24/1000</f>
        <v>0.18216660000000001</v>
      </c>
      <c r="H12" s="147">
        <f t="shared" ref="H12:H14" si="2">G5/G12</f>
        <v>4071.3647104719889</v>
      </c>
      <c r="I12" s="156"/>
      <c r="J12" s="156"/>
    </row>
    <row r="13" spans="2:10" x14ac:dyDescent="0.25">
      <c r="B13" s="152" t="s">
        <v>101</v>
      </c>
      <c r="C13" s="146">
        <f>KLM!X45</f>
        <v>1.2081914</v>
      </c>
      <c r="D13" s="141">
        <f t="shared" si="0"/>
        <v>696.63355215627803</v>
      </c>
      <c r="E13" s="141">
        <f>Schiphol!W45</f>
        <v>1.8005</v>
      </c>
      <c r="F13" s="141">
        <f t="shared" si="1"/>
        <v>398.03758215310569</v>
      </c>
      <c r="G13" s="141">
        <f>ATC!R25/1000</f>
        <v>0.2152878</v>
      </c>
      <c r="H13" s="147">
        <f t="shared" si="2"/>
        <v>3522.4166596218333</v>
      </c>
      <c r="I13" s="156"/>
      <c r="J13" s="156"/>
    </row>
    <row r="14" spans="2:10" ht="15.75" thickBot="1" x14ac:dyDescent="0.3">
      <c r="B14" s="153" t="s">
        <v>102</v>
      </c>
      <c r="C14" s="148">
        <f>KLM!X46</f>
        <v>1.3940670000000002</v>
      </c>
      <c r="D14" s="149">
        <f t="shared" si="0"/>
        <v>621.68221948203814</v>
      </c>
      <c r="E14" s="149">
        <f>Schiphol!W46</f>
        <v>2.0775000000000001</v>
      </c>
      <c r="F14" s="149">
        <f>E7/E14</f>
        <v>362.34790747426126</v>
      </c>
      <c r="G14" s="149">
        <f>ATC!R26/1000</f>
        <v>0.24840899999999999</v>
      </c>
      <c r="H14" s="150">
        <f t="shared" si="2"/>
        <v>3119.8547556650524</v>
      </c>
      <c r="I14" s="156"/>
      <c r="J14" s="156"/>
    </row>
  </sheetData>
  <mergeCells count="2">
    <mergeCell ref="C2:J2"/>
    <mergeCell ref="C9:H9"/>
  </mergeCells>
  <pageMargins left="0.1" right="0.1" top="0.1" bottom="0.1" header="0" footer="0"/>
  <pageSetup orientation="portrait" r:id="rId1"/>
  <ignoredErrors>
    <ignoredError sqref="E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Fleet Distribution</vt:lpstr>
      <vt:lpstr>New Fleet</vt:lpstr>
      <vt:lpstr>KLM</vt:lpstr>
      <vt:lpstr>Schiphol</vt:lpstr>
      <vt:lpstr>ATC</vt:lpstr>
      <vt:lpstr>Local Community</vt:lpstr>
      <vt:lpstr>Result</vt:lpstr>
      <vt:lpstr>acd</vt:lpstr>
      <vt:lpstr>FL</vt:lpstr>
      <vt:lpstr>OL</vt:lpstr>
      <vt:lpstr>own</vt:lpstr>
      <vt:lpstr>rate_1</vt:lpstr>
      <vt:lpstr>ratio_klm</vt:lpstr>
      <vt:lpstr>ratio_trans</vt:lpstr>
      <vt:lpstr>T_ATC</vt:lpstr>
      <vt:lpstr>T_KLM</vt:lpstr>
      <vt:lpstr>T_LC</vt:lpstr>
      <vt:lpstr>T_Schiphol</vt:lpstr>
      <vt:lpstr>tr_klm</vt:lpstr>
      <vt:lpstr>tr_trans</vt:lpstr>
    </vt:vector>
  </TitlesOfParts>
  <Company>TU Delft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Arjun Puttabakula</dc:creator>
  <cp:lastModifiedBy>Siddarth</cp:lastModifiedBy>
  <cp:lastPrinted>2015-02-06T20:10:59Z</cp:lastPrinted>
  <dcterms:created xsi:type="dcterms:W3CDTF">2015-01-02T20:03:02Z</dcterms:created>
  <dcterms:modified xsi:type="dcterms:W3CDTF">2015-04-03T17:36:19Z</dcterms:modified>
</cp:coreProperties>
</file>